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95" tabRatio="846"/>
  </bookViews>
  <sheets>
    <sheet name="zestawienie wariantów" sheetId="12" r:id="rId1"/>
    <sheet name="PV plus kol. słon." sheetId="9" r:id="rId2"/>
    <sheet name="PV" sheetId="1" r:id="rId3"/>
    <sheet name="kol. słon." sheetId="10" r:id="rId4"/>
    <sheet name="prod. en. PV" sheetId="3" r:id="rId5"/>
    <sheet name="prod. en. kol. słon." sheetId="7" r:id="rId6"/>
  </sheets>
  <calcPr calcId="125725"/>
</workbook>
</file>

<file path=xl/calcChain.xml><?xml version="1.0" encoding="utf-8"?>
<calcChain xmlns="http://schemas.openxmlformats.org/spreadsheetml/2006/main">
  <c r="B5" i="10"/>
  <c r="B4"/>
  <c r="G2" i="12"/>
  <c r="B1" i="10" s="1"/>
  <c r="A5" i="12" s="1"/>
  <c r="B10" i="9"/>
  <c r="B18" i="10"/>
  <c r="C2" i="12"/>
  <c r="B19" i="10" l="1"/>
  <c r="B3"/>
  <c r="F20" i="1"/>
  <c r="F21" s="1"/>
  <c r="B9" i="10" l="1"/>
  <c r="D2" i="12" l="1"/>
  <c r="E2" s="1"/>
  <c r="A7" i="9"/>
  <c r="B8"/>
  <c r="A4"/>
  <c r="B2" i="10" l="1"/>
  <c r="F5" i="12"/>
  <c r="B8" i="10"/>
  <c r="B10" s="1"/>
  <c r="B6" i="9"/>
  <c r="A8" i="12" s="1"/>
  <c r="C1" i="1"/>
  <c r="I5" i="12"/>
  <c r="C17" i="7"/>
  <c r="B7" i="10" s="1"/>
  <c r="B14" l="1"/>
  <c r="B16" s="1"/>
  <c r="B11" i="9" s="1"/>
  <c r="B6" i="10"/>
  <c r="C5" i="12" s="1"/>
  <c r="B20" i="10"/>
  <c r="F17" i="1"/>
  <c r="F18" s="1"/>
  <c r="F25"/>
  <c r="B7" i="9"/>
  <c r="B1"/>
  <c r="B2" s="1"/>
  <c r="B3" s="1"/>
  <c r="A6" i="12"/>
  <c r="B9" i="9"/>
  <c r="B17" i="10" l="1"/>
  <c r="E5" i="12" s="1"/>
  <c r="B12" i="9"/>
  <c r="B16"/>
  <c r="B21" i="10"/>
  <c r="G5" i="12" s="1"/>
  <c r="F26" i="1"/>
  <c r="F27" s="1"/>
  <c r="B4" i="9"/>
  <c r="D18" i="3"/>
  <c r="F6" i="12"/>
  <c r="F8" s="1"/>
  <c r="B4" i="1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C3"/>
  <c r="B3"/>
  <c r="J5" i="12" l="1"/>
  <c r="B22" i="10"/>
  <c r="H5" i="12" s="1"/>
  <c r="B17" i="9"/>
  <c r="B18" s="1"/>
  <c r="C15" i="1"/>
  <c r="D4"/>
  <c r="D5"/>
  <c r="D6"/>
  <c r="D7"/>
  <c r="D8"/>
  <c r="D9"/>
  <c r="D10"/>
  <c r="D11"/>
  <c r="D12"/>
  <c r="D13"/>
  <c r="D14"/>
  <c r="D3"/>
  <c r="B23" i="10" l="1"/>
  <c r="D5" i="12" s="1"/>
  <c r="F31" i="1"/>
  <c r="F30"/>
  <c r="F29"/>
  <c r="J6" i="12"/>
  <c r="H6"/>
  <c r="G6"/>
  <c r="J8"/>
  <c r="E12" i="1"/>
  <c r="E8"/>
  <c r="E4"/>
  <c r="E14"/>
  <c r="E10"/>
  <c r="E6"/>
  <c r="E3"/>
  <c r="E13"/>
  <c r="E11"/>
  <c r="F11" s="1"/>
  <c r="E9"/>
  <c r="E7"/>
  <c r="E5"/>
  <c r="G8" i="12" l="1"/>
  <c r="B15" i="9"/>
  <c r="I8" i="12" s="1"/>
  <c r="H8"/>
  <c r="E15" i="1"/>
  <c r="F13"/>
  <c r="F7"/>
  <c r="F12"/>
  <c r="F8"/>
  <c r="F4"/>
  <c r="F9"/>
  <c r="F5"/>
  <c r="F14"/>
  <c r="F10"/>
  <c r="F6"/>
  <c r="D15"/>
  <c r="F3" l="1"/>
  <c r="F15" l="1"/>
  <c r="F28" s="1"/>
  <c r="D6" i="12" s="1"/>
  <c r="B5" i="9"/>
  <c r="F22" i="1" l="1"/>
  <c r="F23" s="1"/>
  <c r="I6" i="12"/>
  <c r="C6" l="1"/>
  <c r="H2" s="1"/>
  <c r="E6"/>
  <c r="B13" i="9"/>
  <c r="B14" s="1"/>
  <c r="B19" s="1"/>
  <c r="D8" i="12" s="1"/>
  <c r="C8" l="1"/>
  <c r="E8"/>
</calcChain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Nadwyżka produkcji ponad 100% jest oddawana za darmo do sieci</t>
        </r>
      </text>
    </comment>
  </commentList>
</comments>
</file>

<file path=xl/sharedStrings.xml><?xml version="1.0" encoding="utf-8"?>
<sst xmlns="http://schemas.openxmlformats.org/spreadsheetml/2006/main" count="187" uniqueCount="162">
  <si>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</si>
  <si>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</si>
  <si>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</si>
  <si>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</si>
  <si>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</si>
  <si>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</si>
  <si>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</si>
  <si>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</si>
  <si>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</si>
  <si>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</si>
  <si>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</si>
  <si>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</si>
  <si>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</si>
  <si>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Suma roczna</t>
  </si>
  <si>
    <t>kWh</t>
  </si>
  <si>
    <t>oszczędność miesięczna</t>
  </si>
  <si>
    <t>zł</t>
  </si>
  <si>
    <t>średnia dzienna</t>
  </si>
  <si>
    <t>suma miesięczna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</si>
  <si>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</si>
  <si>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</si>
  <si>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</si>
  <si>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</si>
  <si>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</si>
  <si>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</si>
  <si>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</si>
  <si>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</si>
  <si>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</si>
  <si>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</si>
  <si>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</si>
  <si>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</si>
  <si>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Total for year</t>
  </si>
  <si>
    <r>
      <t>E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</si>
  <si>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m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</si>
  <si>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</si>
  <si>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m</t>
    </r>
  </si>
  <si>
    <t>20% energii zużyte w chwili produkcji (średnia statystyczna)</t>
  </si>
  <si>
    <t>Pozostała wyprodukowana energia wprowadzona do sieci i rozliczona na koniec okresu ze wspł. 0,8</t>
  </si>
  <si>
    <t>Moc nominalna analizowanego systemu [kWp]:</t>
  </si>
  <si>
    <t>Miesiąc</t>
  </si>
  <si>
    <t xml:space="preserve">Produkcja energii z wzorcowego systemu o mocy 1 kWp </t>
  </si>
  <si>
    <t>http://re.jrc.ec.europa.eu/pvgis/apps4/pvest.php</t>
  </si>
  <si>
    <t>źródło:</t>
  </si>
  <si>
    <r>
      <t>Niezbędna wolna i niezacieniona powierzchnia dachu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</si>
  <si>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Liczba modułów [szt.] o wymiarach 1x1,6 [m]</t>
  </si>
  <si>
    <t>Założona stawka za energię z sieci z dystrybucją brutto [zł/kWh]</t>
  </si>
  <si>
    <t>Średnie roczne zużycie energii w gospodarstwie domowym [kWh]</t>
  </si>
  <si>
    <t>Rachunek za energię przed instalacją</t>
  </si>
  <si>
    <t>Rachunek za energię po instalacji</t>
  </si>
  <si>
    <t>Prosty zwrot w latach z wkładu własnego</t>
  </si>
  <si>
    <t>Ograniczenie zużycia węgla w elektrowniach [kg/rok]</t>
  </si>
  <si>
    <t>Redukcja emisji gazów cieplarnianych [kg/rok]</t>
  </si>
  <si>
    <t>Ograniczenie zużycia wody w elektrowniach [l/rok]</t>
  </si>
  <si>
    <t>Produkcja energii</t>
  </si>
  <si>
    <t>Nasłonecznienie</t>
  </si>
  <si>
    <t>miesięcznie</t>
  </si>
  <si>
    <t>Dzienne zapotrzebowanie na CWU [l]</t>
  </si>
  <si>
    <t>Roczne zapotrzebowanie na CWU w kWh</t>
  </si>
  <si>
    <t>http://www.instalacjebudowlane.pl/6405-23-84-pompy-ciepla-do-podgrzewania-cieplej-wody-uzytkowej.html</t>
  </si>
  <si>
    <t>Zastępowany rodzaj paliwa</t>
  </si>
  <si>
    <t>Roczna ilość zastępowanego paliwa [kg]</t>
  </si>
  <si>
    <t>Sprawność dotychczasowego procesu</t>
  </si>
  <si>
    <t>Wartość energetyczna zastępowanego paliwa [kWh/kg]</t>
  </si>
  <si>
    <t>Koszt jednostkowy [zł/kg]</t>
  </si>
  <si>
    <t>Roczny koszt przygotowania CWU na zastępowanym paliwie</t>
  </si>
  <si>
    <t>Roczny koszt przygotowania CWU w pompie ciepła</t>
  </si>
  <si>
    <t>Koszt energii elektrycznej [zł/kWh]</t>
  </si>
  <si>
    <t>Roczna oszczędność</t>
  </si>
  <si>
    <t>Prosty zwrot z wkładu własnego [lat]</t>
  </si>
  <si>
    <t>Minimalna liczba modułów</t>
  </si>
  <si>
    <t>Dobrana moc systemu PV [kWp]</t>
  </si>
  <si>
    <t>Jednostkowy koszt systemu PV 3,64 kWp [zł/kWp]</t>
  </si>
  <si>
    <t>Roczna oszczędność na produkcji CWU</t>
  </si>
  <si>
    <t>Sumaryczna oszczędność CWU + energia elektryczna</t>
  </si>
  <si>
    <t>korzyści:</t>
  </si>
  <si>
    <t>Zysk solarny [kWh]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</si>
  <si>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</si>
  <si>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</si>
  <si>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</si>
  <si>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</si>
  <si>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</si>
  <si>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</si>
  <si>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</si>
  <si>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</si>
  <si>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</si>
  <si>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</si>
  <si>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</si>
  <si>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</si>
  <si>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/ średnia</t>
  </si>
  <si>
    <t>http://www.instalacjebudowlane.pl/6404-23-55-parametry-wydajnosci-kolektorow-slonecznych.html</t>
  </si>
  <si>
    <t>źródło</t>
  </si>
  <si>
    <t>Uzysk z instalacji wzorcowej obejmującej 2 kolektory płaskie</t>
  </si>
  <si>
    <t>Roczne zużycie energii elektrycznej przez kolektory [kWh]</t>
  </si>
  <si>
    <t>Roczny koszt przygotowania CWU w kolektorach słonecznych</t>
  </si>
  <si>
    <t>http://vaillant.poznan.pl/kalkulatory-on-line/kalkulator-kosztow-ogrzewania-domu-i-podgrzewania-cieplej-wody-uzytkowej/</t>
  </si>
  <si>
    <t>Minimalna moc nominalna systemu PV dla pracy w układzie z kolektorami słonecznymi</t>
  </si>
  <si>
    <t>liczba kolektorów słonecznych</t>
  </si>
  <si>
    <t>wraz z montażem pod klucz brutto 8% VAT</t>
  </si>
  <si>
    <t>http://www.hewalex.pl/oferta/zestawy-solarne-z-kolektorami-plaskimi/zestaw-sloneczny-hewalex-2-tlp-ac-200w.html</t>
  </si>
  <si>
    <r>
      <t>liczba kolektrów o aperturze 1,8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</si>
  <si>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Roczna oszczędność na zużyciu energii elektrycznej na pozostałe media poza CWU przez zastosowanie instalacji fotowoltaicznej</t>
  </si>
  <si>
    <t xml:space="preserve">Instalacje </t>
  </si>
  <si>
    <t>Zestawy technologiczne</t>
  </si>
  <si>
    <t>zwrot z inwestycji [lat]</t>
  </si>
  <si>
    <t>Roczna oszczędność [zł/rok]</t>
  </si>
  <si>
    <t>Pokrycie zapotrzebowania [%]</t>
  </si>
  <si>
    <t>Wspł. [zł/kW]</t>
  </si>
  <si>
    <t>Moc nominalna zestawu [kW]</t>
  </si>
  <si>
    <t>CWU (węgiel)</t>
  </si>
  <si>
    <t>-------------</t>
  </si>
  <si>
    <t>Uwagi:</t>
  </si>
  <si>
    <t>Wymagana duża niezacieniona powierzchnia dachowa, alternatywny montaż kolektorów na fasadzie</t>
  </si>
  <si>
    <t>Pokrycie zapotrzebowania na CWU niższe niż w wariancie z pompą ciepła</t>
  </si>
  <si>
    <t>Optymalny wspł. zł/kWp - najlepszy wybór pod kątem kryteriów oceny wniosków</t>
  </si>
  <si>
    <t>Ekonomia - wysoka roczna oszczędność</t>
  </si>
  <si>
    <t>Ekologia - wysokie ograniczenie niskiej emisji</t>
  </si>
  <si>
    <t>Rodzaj zastępowanej energii / medium</t>
  </si>
  <si>
    <t>http://www.hewalex.pl/strony/porownanie-kosztow-wytworzenia-ciepla.html</t>
  </si>
  <si>
    <t>Założenia:</t>
  </si>
  <si>
    <t>Roczne zużycie energii elektrycznej [kWh]</t>
  </si>
  <si>
    <t>Maksymalna moc instalacji PV [kWp]</t>
  </si>
  <si>
    <t>pola z żółtym tłem służą do wprowadzania danych</t>
  </si>
  <si>
    <t>pozostała część roku to grzanie w sezonie grzewczym oraz okres przejściowy z koniecznością "przepalania" na potrzeby CWU lub podgrzewanie grzałką elektryczną</t>
  </si>
  <si>
    <t>Dobrana moc instalacji PV</t>
  </si>
  <si>
    <t>Liczba kolektorów słonecznych</t>
  </si>
  <si>
    <t>uwagi</t>
  </si>
  <si>
    <t>Opracowanie: inż. Jakub Wiśniewski, certyfikowany instalator OZE nr UDT: OZE-E/27/000030/15, www.solwis.pl/mikroinstalacje</t>
  </si>
  <si>
    <t>wymagana powierzchnia dachu [m2]</t>
  </si>
  <si>
    <t>wymagane, brak możliwości pracy na zbiornik bez wężownicy</t>
  </si>
  <si>
    <t>Finalny wkład własny</t>
  </si>
  <si>
    <t>en. elektryczna z sieci</t>
  </si>
  <si>
    <t>CWU (węgiel) + en. elektryczna z sieci</t>
  </si>
  <si>
    <t>Wspł. [zł/kWh]</t>
  </si>
  <si>
    <t>Wkład własny</t>
  </si>
  <si>
    <t>Wartość instalacji</t>
  </si>
  <si>
    <t>Jednostkowa moc modułu PV [Wp]</t>
  </si>
  <si>
    <t>Liczba modułów PV [1x1,6 m]</t>
  </si>
  <si>
    <t>Fotowoltaika: produkcja energii jest zużywana przez urządzenia budynku, nadwyżka jest wprowadzana do sieci i "odbierana" w okresie pół roku do roku ze wspł. 0,8 =&gt; 1 MWh energii wprowadzonej do sieci to zmniejszenie zużycia energii i dystrybucji na rachunku o 0,8 MWh.</t>
  </si>
  <si>
    <t>Wspł. odchylenia od kąta optymalnego</t>
  </si>
  <si>
    <t>Poziom dofinansowania</t>
  </si>
  <si>
    <t>https://allegro.pl/listing?string=w%C4%99giel%20workowany&amp;order=qd</t>
  </si>
  <si>
    <t>Podatek VAT</t>
  </si>
  <si>
    <r>
      <rPr>
        <b/>
        <sz val="11"/>
        <color theme="1"/>
        <rFont val="Calibri"/>
        <family val="2"/>
        <charset val="238"/>
        <scheme val="minor"/>
      </rPr>
      <t>Podatek VAT</t>
    </r>
    <r>
      <rPr>
        <sz val="11"/>
        <color theme="1"/>
        <rFont val="Calibri"/>
        <family val="2"/>
        <scheme val="minor"/>
      </rPr>
      <t>: domyślnie instalacje objęte są podatkiem VAT 8%, montaż poza bryłą budynku mieszkalnego (np. grunt, budynek gospodarczy oznacza VAT 23% - należy wprowadzić w komórkę L2)</t>
    </r>
  </si>
  <si>
    <t>węgiel workowany</t>
  </si>
  <si>
    <t>Koszt jednostkowy netto [zł/kW]</t>
  </si>
  <si>
    <t>Usługa montażu netto</t>
  </si>
  <si>
    <t>Wartość zestawu netto wraz z montażem</t>
  </si>
  <si>
    <t>Wartość zestawu brutto wraz z montażem</t>
  </si>
  <si>
    <t>Koszt jednostkowy netto z montażem [zł/kW]</t>
  </si>
  <si>
    <t>Całkowity koszt instalacji brutto wraz z montażem</t>
  </si>
  <si>
    <t>Całkowity koszt instalacji netto wraz z montażem</t>
  </si>
  <si>
    <t>Koszt jednostkowy netto instalacji PV [zł/kWp]</t>
  </si>
  <si>
    <t>Całkowita wartość inwestycji netto</t>
  </si>
  <si>
    <t>Całkowita wartość inwestycji brutto</t>
  </si>
  <si>
    <t>Zestaw PV + kolektory słoneczne to zestaw zapewniający pokrycie zapotrzebowania na energię elektryczną oraz cieplną na cele przygotowania CWU w okresie poza sezonem grzewczym</t>
  </si>
  <si>
    <t>Liczba osób w gospodarstwie</t>
  </si>
  <si>
    <t>Maks. pojemność zasobnika CWU [l]</t>
  </si>
  <si>
    <t xml:space="preserve">Kolektory słoneczne: rolą kolektorów słonecznych jest przygotowanie CWU w lecie oraz późną wiosną i wczesną jesienią. W ciągu roku zapewniają ok. 60% zapotrzebowania na CWU, co oznacza konieczność "przepalania" w piecu w tygodniach pochmurnych oraz w okresie przejściowym. </t>
  </si>
  <si>
    <t>35l na os.</t>
  </si>
  <si>
    <t>Procentowe pokrycie zapotrzebowania na CWU w ciągu roku</t>
  </si>
  <si>
    <t>Roczna ilość energii cieplnej wyprodukowanej przez kolektory słoneczne</t>
  </si>
  <si>
    <t>Obliczenia ważne tylko dla instalacji Prosumenckiej (maks. 40 kWp). Moc instalacji dobrana do zapotrzebowania - instalację można zmniejszyć - tym samym zmniejszając wkład własny oraz w odpowiedniej proporcji rachunki za energię. Obliczenia wykonane dla instalacji o kącie nachylenia wynoszącym 30 st. oraz azymucie południowym. W przypadku odchyleń od tych warunków, należy w komórkę I2 wpisać liczbę odczytaną z poniższej tabeli: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</si>
</sst>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"/>
  </numFmts>
  <fonts count="25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92D050"/>
      </left>
      <right style="thin">
        <color theme="6"/>
      </right>
      <top style="medium">
        <color rgb="FF92D050"/>
      </top>
      <bottom style="thin">
        <color theme="6"/>
      </bottom>
      <diagonal/>
    </border>
    <border>
      <left/>
      <right style="thin">
        <color theme="6"/>
      </right>
      <top style="medium">
        <color rgb="FF92D050"/>
      </top>
      <bottom style="thin">
        <color theme="6"/>
      </bottom>
      <diagonal/>
    </border>
    <border>
      <left style="thin">
        <color theme="6"/>
      </left>
      <right style="thin">
        <color rgb="FF92D050"/>
      </right>
      <top style="medium">
        <color rgb="FF92D050"/>
      </top>
      <bottom style="thin">
        <color theme="6"/>
      </bottom>
      <diagonal/>
    </border>
    <border>
      <left/>
      <right style="medium">
        <color rgb="FF92D050"/>
      </right>
      <top style="medium">
        <color rgb="FF92D050"/>
      </top>
      <bottom style="thin">
        <color theme="6"/>
      </bottom>
      <diagonal/>
    </border>
    <border>
      <left style="medium">
        <color rgb="FF92D050"/>
      </left>
      <right style="thin">
        <color theme="6"/>
      </right>
      <top style="thin">
        <color theme="6"/>
      </top>
      <bottom style="medium">
        <color rgb="FF92D050"/>
      </bottom>
      <diagonal/>
    </border>
    <border>
      <left/>
      <right style="thin">
        <color theme="6"/>
      </right>
      <top style="thin">
        <color theme="6"/>
      </top>
      <bottom style="medium">
        <color rgb="FF92D050"/>
      </bottom>
      <diagonal/>
    </border>
    <border>
      <left/>
      <right/>
      <top style="thin">
        <color theme="6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theme="6"/>
      </top>
      <bottom style="medium">
        <color rgb="FF92D05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6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6" fillId="0" borderId="1" xfId="0" applyFont="1" applyBorder="1" applyAlignment="1">
      <alignment wrapText="1"/>
    </xf>
    <xf numFmtId="2" fontId="0" fillId="0" borderId="0" xfId="0" applyNumberFormat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2" fontId="0" fillId="0" borderId="7" xfId="0" applyNumberFormat="1" applyBorder="1" applyAlignment="1">
      <alignment horizontal="left"/>
    </xf>
    <xf numFmtId="2" fontId="11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2" fontId="0" fillId="0" borderId="20" xfId="0" applyNumberFormat="1" applyBorder="1" applyAlignment="1">
      <alignment horizontal="left"/>
    </xf>
    <xf numFmtId="165" fontId="0" fillId="0" borderId="15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2" fontId="0" fillId="0" borderId="22" xfId="0" applyNumberFormat="1" applyBorder="1"/>
    <xf numFmtId="2" fontId="0" fillId="0" borderId="23" xfId="0" applyNumberFormat="1" applyBorder="1"/>
    <xf numFmtId="2" fontId="11" fillId="2" borderId="25" xfId="0" applyNumberFormat="1" applyFont="1" applyFill="1" applyBorder="1"/>
    <xf numFmtId="2" fontId="0" fillId="2" borderId="26" xfId="0" applyNumberFormat="1" applyFill="1" applyBorder="1"/>
    <xf numFmtId="2" fontId="13" fillId="2" borderId="27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 horizontal="left"/>
    </xf>
    <xf numFmtId="2" fontId="0" fillId="0" borderId="29" xfId="0" applyNumberFormat="1" applyBorder="1" applyAlignment="1">
      <alignment horizontal="left"/>
    </xf>
    <xf numFmtId="165" fontId="0" fillId="0" borderId="21" xfId="0" applyNumberFormat="1" applyBorder="1" applyAlignment="1">
      <alignment horizontal="right"/>
    </xf>
    <xf numFmtId="1" fontId="0" fillId="0" borderId="24" xfId="1" applyNumberFormat="1" applyFont="1" applyFill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 wrapText="1"/>
    </xf>
    <xf numFmtId="164" fontId="0" fillId="0" borderId="4" xfId="0" applyNumberFormat="1" applyBorder="1"/>
    <xf numFmtId="0" fontId="0" fillId="0" borderId="4" xfId="0" applyBorder="1" applyAlignment="1">
      <alignment horizontal="right"/>
    </xf>
    <xf numFmtId="1" fontId="0" fillId="0" borderId="4" xfId="0" applyNumberFormat="1" applyBorder="1"/>
    <xf numFmtId="165" fontId="0" fillId="0" borderId="4" xfId="0" applyNumberFormat="1" applyBorder="1"/>
    <xf numFmtId="0" fontId="11" fillId="0" borderId="2" xfId="0" applyFont="1" applyBorder="1" applyAlignment="1">
      <alignment wrapText="1"/>
    </xf>
    <xf numFmtId="165" fontId="14" fillId="0" borderId="4" xfId="0" applyNumberFormat="1" applyFont="1" applyBorder="1"/>
    <xf numFmtId="0" fontId="11" fillId="2" borderId="2" xfId="0" applyFont="1" applyFill="1" applyBorder="1" applyAlignment="1">
      <alignment wrapText="1"/>
    </xf>
    <xf numFmtId="166" fontId="16" fillId="2" borderId="4" xfId="0" applyNumberFormat="1" applyFont="1" applyFill="1" applyBorder="1"/>
    <xf numFmtId="2" fontId="0" fillId="0" borderId="6" xfId="0" applyNumberFormat="1" applyBorder="1" applyAlignment="1">
      <alignment horizontal="left" vertical="center" wrapText="1"/>
    </xf>
    <xf numFmtId="164" fontId="14" fillId="0" borderId="4" xfId="0" applyNumberFormat="1" applyFont="1" applyBorder="1"/>
    <xf numFmtId="2" fontId="13" fillId="2" borderId="4" xfId="0" applyNumberFormat="1" applyFont="1" applyFill="1" applyBorder="1"/>
    <xf numFmtId="0" fontId="11" fillId="0" borderId="0" xfId="0" applyFont="1"/>
    <xf numFmtId="2" fontId="11" fillId="2" borderId="4" xfId="0" applyNumberFormat="1" applyFont="1" applyFill="1" applyBorder="1"/>
    <xf numFmtId="0" fontId="14" fillId="0" borderId="0" xfId="0" applyFont="1" applyAlignment="1">
      <alignment wrapText="1"/>
    </xf>
    <xf numFmtId="0" fontId="18" fillId="0" borderId="1" xfId="0" applyFont="1" applyBorder="1" applyAlignment="1">
      <alignment horizontal="center" wrapText="1"/>
    </xf>
    <xf numFmtId="0" fontId="0" fillId="0" borderId="4" xfId="2" applyNumberFormat="1" applyFont="1" applyBorder="1"/>
    <xf numFmtId="9" fontId="14" fillId="0" borderId="4" xfId="2" applyFont="1" applyBorder="1"/>
    <xf numFmtId="1" fontId="1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65" fontId="0" fillId="0" borderId="4" xfId="0" applyNumberFormat="1" applyFill="1" applyBorder="1"/>
    <xf numFmtId="0" fontId="15" fillId="2" borderId="2" xfId="0" applyFont="1" applyFill="1" applyBorder="1" applyAlignment="1">
      <alignment wrapText="1"/>
    </xf>
    <xf numFmtId="165" fontId="13" fillId="2" borderId="4" xfId="0" applyNumberFormat="1" applyFont="1" applyFill="1" applyBorder="1"/>
    <xf numFmtId="165" fontId="13" fillId="2" borderId="27" xfId="0" applyNumberFormat="1" applyFont="1" applyFill="1" applyBorder="1" applyAlignment="1">
      <alignment horizontal="right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5" fillId="0" borderId="6" xfId="0" applyNumberFormat="1" applyFont="1" applyBorder="1" applyAlignment="1">
      <alignment horizontal="left" vertical="center" wrapText="1"/>
    </xf>
    <xf numFmtId="165" fontId="14" fillId="0" borderId="18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 wrapText="1"/>
      <protection hidden="1"/>
    </xf>
    <xf numFmtId="2" fontId="0" fillId="0" borderId="8" xfId="0" applyNumberFormat="1" applyBorder="1" applyProtection="1">
      <protection hidden="1"/>
    </xf>
    <xf numFmtId="0" fontId="6" fillId="0" borderId="4" xfId="0" applyFont="1" applyBorder="1" applyAlignment="1" applyProtection="1">
      <alignment horizontal="right" wrapText="1"/>
      <protection hidden="1"/>
    </xf>
    <xf numFmtId="0" fontId="0" fillId="0" borderId="4" xfId="0" applyBorder="1" applyProtection="1">
      <protection hidden="1"/>
    </xf>
    <xf numFmtId="2" fontId="0" fillId="0" borderId="4" xfId="0" applyNumberFormat="1" applyBorder="1" applyProtection="1">
      <protection hidden="1"/>
    </xf>
    <xf numFmtId="2" fontId="0" fillId="0" borderId="4" xfId="0" applyNumberFormat="1" applyFill="1" applyBorder="1" applyProtection="1">
      <protection hidden="1"/>
    </xf>
    <xf numFmtId="3" fontId="7" fillId="0" borderId="13" xfId="0" applyNumberFormat="1" applyFont="1" applyBorder="1" applyAlignment="1" applyProtection="1">
      <alignment horizontal="right"/>
      <protection hidden="1"/>
    </xf>
    <xf numFmtId="3" fontId="7" fillId="0" borderId="15" xfId="0" applyNumberFormat="1" applyFont="1" applyBorder="1" applyAlignment="1" applyProtection="1">
      <alignment horizontal="right"/>
      <protection hidden="1"/>
    </xf>
    <xf numFmtId="3" fontId="7" fillId="0" borderId="18" xfId="0" applyNumberFormat="1" applyFont="1" applyBorder="1" applyProtection="1">
      <protection hidden="1"/>
    </xf>
    <xf numFmtId="165" fontId="0" fillId="5" borderId="13" xfId="0" applyNumberFormat="1" applyFill="1" applyBorder="1" applyAlignment="1" applyProtection="1">
      <alignment horizontal="right"/>
      <protection locked="0"/>
    </xf>
    <xf numFmtId="164" fontId="0" fillId="5" borderId="13" xfId="0" applyNumberFormat="1" applyFill="1" applyBorder="1" applyAlignment="1" applyProtection="1">
      <alignment horizontal="right"/>
      <protection locked="0"/>
    </xf>
    <xf numFmtId="0" fontId="0" fillId="5" borderId="4" xfId="0" applyFill="1" applyBorder="1" applyAlignment="1" applyProtection="1">
      <alignment horizontal="right"/>
      <protection locked="0"/>
    </xf>
    <xf numFmtId="0" fontId="0" fillId="5" borderId="4" xfId="0" applyFill="1" applyBorder="1" applyProtection="1">
      <protection locked="0"/>
    </xf>
    <xf numFmtId="9" fontId="0" fillId="5" borderId="4" xfId="2" applyFon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0" fontId="5" fillId="4" borderId="0" xfId="3" applyBorder="1" applyAlignment="1" applyProtection="1">
      <alignment horizontal="center" vertical="center" wrapText="1"/>
    </xf>
    <xf numFmtId="0" fontId="4" fillId="4" borderId="0" xfId="3" applyFont="1" applyBorder="1" applyAlignment="1" applyProtection="1">
      <alignment horizontal="center" vertical="center" wrapText="1"/>
    </xf>
    <xf numFmtId="0" fontId="2" fillId="4" borderId="0" xfId="3" applyFont="1" applyBorder="1" applyAlignment="1" applyProtection="1">
      <alignment horizontal="center" vertical="center" wrapText="1"/>
    </xf>
    <xf numFmtId="2" fontId="0" fillId="0" borderId="0" xfId="0" applyNumberFormat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horizontal="center" vertical="center" wrapText="1"/>
    </xf>
    <xf numFmtId="9" fontId="0" fillId="0" borderId="0" xfId="2" applyFont="1" applyBorder="1" applyAlignment="1" applyProtection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 wrapText="1"/>
    </xf>
    <xf numFmtId="2" fontId="20" fillId="4" borderId="0" xfId="3" applyNumberFormat="1" applyFont="1" applyBorder="1" applyAlignment="1" applyProtection="1">
      <alignment horizontal="center" vertical="center" wrapText="1"/>
    </xf>
    <xf numFmtId="2" fontId="5" fillId="4" borderId="0" xfId="3" quotePrefix="1" applyNumberFormat="1" applyBorder="1" applyAlignment="1" applyProtection="1">
      <alignment horizontal="center" vertical="center" wrapText="1"/>
    </xf>
    <xf numFmtId="0" fontId="22" fillId="0" borderId="0" xfId="5" applyAlignment="1" applyProtection="1"/>
    <xf numFmtId="0" fontId="1" fillId="4" borderId="0" xfId="3" applyFont="1" applyBorder="1" applyAlignment="1" applyProtection="1">
      <alignment horizontal="center" vertical="center" wrapText="1"/>
    </xf>
    <xf numFmtId="0" fontId="22" fillId="0" borderId="0" xfId="5" applyAlignment="1" applyProtection="1">
      <alignment wrapText="1"/>
    </xf>
    <xf numFmtId="2" fontId="15" fillId="0" borderId="4" xfId="0" applyNumberFormat="1" applyFont="1" applyBorder="1" applyAlignment="1">
      <alignment horizontal="right" wrapText="1"/>
    </xf>
    <xf numFmtId="2" fontId="0" fillId="0" borderId="32" xfId="0" applyNumberFormat="1" applyBorder="1"/>
    <xf numFmtId="2" fontId="0" fillId="0" borderId="33" xfId="0" applyNumberFormat="1" applyBorder="1"/>
    <xf numFmtId="1" fontId="0" fillId="0" borderId="3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64" fontId="0" fillId="0" borderId="0" xfId="0" applyNumberFormat="1" applyBorder="1" applyAlignment="1" applyProtection="1">
      <alignment horizontal="center" vertical="center" wrapText="1"/>
    </xf>
    <xf numFmtId="2" fontId="20" fillId="6" borderId="35" xfId="4" applyNumberFormat="1" applyFont="1" applyBorder="1" applyAlignment="1" applyProtection="1">
      <alignment horizontal="center" vertical="center" wrapText="1"/>
    </xf>
    <xf numFmtId="2" fontId="20" fillId="6" borderId="36" xfId="4" applyNumberFormat="1" applyFont="1" applyBorder="1" applyAlignment="1" applyProtection="1">
      <alignment horizontal="center" vertical="center" wrapText="1"/>
    </xf>
    <xf numFmtId="9" fontId="20" fillId="6" borderId="36" xfId="4" applyNumberFormat="1" applyFont="1" applyBorder="1" applyAlignment="1" applyProtection="1">
      <alignment horizontal="center" vertical="center" wrapText="1"/>
    </xf>
    <xf numFmtId="165" fontId="20" fillId="6" borderId="36" xfId="4" applyNumberFormat="1" applyFont="1" applyBorder="1" applyAlignment="1" applyProtection="1">
      <alignment horizontal="center" vertical="center" wrapText="1"/>
    </xf>
    <xf numFmtId="165" fontId="20" fillId="6" borderId="37" xfId="4" applyNumberFormat="1" applyFont="1" applyBorder="1" applyAlignment="1" applyProtection="1">
      <alignment horizontal="center" vertical="center" wrapText="1"/>
    </xf>
    <xf numFmtId="165" fontId="20" fillId="6" borderId="38" xfId="4" applyNumberFormat="1" applyFont="1" applyBorder="1" applyAlignment="1" applyProtection="1">
      <alignment horizontal="center" vertical="center" wrapText="1"/>
    </xf>
    <xf numFmtId="2" fontId="0" fillId="0" borderId="39" xfId="0" applyNumberFormat="1" applyBorder="1" applyAlignment="1" applyProtection="1">
      <alignment horizontal="center" vertical="center" wrapText="1"/>
    </xf>
    <xf numFmtId="1" fontId="0" fillId="5" borderId="4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40" xfId="2" applyNumberFormat="1" applyFont="1" applyBorder="1" applyAlignment="1" applyProtection="1">
      <alignment horizontal="center" vertical="center" wrapText="1"/>
    </xf>
    <xf numFmtId="2" fontId="0" fillId="5" borderId="4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0" xfId="0" applyNumberFormat="1" applyFont="1" applyBorder="1" applyAlignment="1" applyProtection="1">
      <alignment horizontal="center" vertical="center" wrapText="1"/>
    </xf>
    <xf numFmtId="165" fontId="0" fillId="0" borderId="41" xfId="0" applyNumberFormat="1" applyFont="1" applyBorder="1" applyAlignment="1" applyProtection="1">
      <alignment horizontal="center" vertical="center" wrapText="1"/>
    </xf>
    <xf numFmtId="9" fontId="0" fillId="5" borderId="42" xfId="2" applyFont="1" applyFill="1" applyBorder="1" applyAlignment="1" applyProtection="1">
      <alignment horizontal="center" vertical="center" wrapText="1"/>
    </xf>
    <xf numFmtId="164" fontId="0" fillId="0" borderId="4" xfId="0" applyNumberFormat="1" applyFill="1" applyBorder="1" applyProtection="1">
      <protection locked="0"/>
    </xf>
    <xf numFmtId="2" fontId="0" fillId="0" borderId="43" xfId="0" applyNumberFormat="1" applyBorder="1"/>
    <xf numFmtId="165" fontId="0" fillId="0" borderId="21" xfId="0" applyNumberFormat="1" applyFill="1" applyBorder="1" applyAlignment="1" applyProtection="1">
      <alignment horizontal="right"/>
      <protection locked="0"/>
    </xf>
    <xf numFmtId="2" fontId="24" fillId="0" borderId="0" xfId="0" applyNumberFormat="1" applyFont="1" applyBorder="1" applyAlignment="1" applyProtection="1">
      <alignment horizontal="center" vertical="center" wrapText="1"/>
    </xf>
    <xf numFmtId="165" fontId="24" fillId="0" borderId="0" xfId="0" applyNumberFormat="1" applyFont="1" applyBorder="1" applyAlignment="1" applyProtection="1">
      <alignment horizontal="center" vertical="center" wrapText="1"/>
    </xf>
    <xf numFmtId="1" fontId="0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1" fillId="0" borderId="0" xfId="0" applyFont="1" applyAlignment="1" applyProtection="1">
      <alignment horizontal="center"/>
    </xf>
    <xf numFmtId="2" fontId="23" fillId="0" borderId="0" xfId="0" applyNumberFormat="1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11" fillId="2" borderId="28" xfId="0" applyNumberFormat="1" applyFont="1" applyFill="1" applyBorder="1" applyAlignment="1">
      <alignment horizontal="left"/>
    </xf>
    <xf numFmtId="2" fontId="11" fillId="2" borderId="29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7" fillId="3" borderId="30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wrapText="1"/>
    </xf>
  </cellXfs>
  <cellStyles count="6">
    <cellStyle name="40% - akcent 3" xfId="3" builtinId="39"/>
    <cellStyle name="40% - akcent 5" xfId="4" builtinId="47"/>
    <cellStyle name="Dziesiętny" xfId="1" builtinId="3"/>
    <cellStyle name="Hiperłącze" xfId="5" builtinId="8"/>
    <cellStyle name="Normalny" xfId="0" builtinId="0"/>
    <cellStyle name="Procentowy" xfId="2" builtinId="5"/>
  </cellStyles>
  <dxfs count="15">
    <dxf>
      <numFmt numFmtId="164" formatCode="#,##0.00\ &quot;zł&quot;"/>
      <alignment horizontal="center" vertical="center" textRotation="0" wrapText="1" indent="0" relativeIndent="0" justifyLastLine="0" shrinkToFit="0" mergeCell="0" readingOrder="0"/>
      <protection locked="1" hidden="0"/>
    </dxf>
    <dxf>
      <numFmt numFmtId="165" formatCode="#,##0\ &quot;zł&quot;"/>
      <alignment horizontal="center" vertical="center" textRotation="0" wrapText="1" indent="0" relativeIndent="0" justifyLastLine="0" shrinkToFit="0" mergeCell="0" readingOrder="0"/>
      <protection locked="1" hidden="0"/>
    </dxf>
    <dxf>
      <numFmt numFmtId="165" formatCode="#,##0\ &quot;zł&quot;"/>
      <alignment horizontal="center" vertical="center" textRotation="0" wrapText="1" indent="0" relativeIndent="0" justifyLastLine="0" shrinkToFit="0" mergeCell="0" readingOrder="0"/>
      <protection locked="1" hidden="0"/>
    </dxf>
    <dxf>
      <numFmt numFmtId="165" formatCode="#,##0\ &quot;zł&quot;"/>
      <alignment horizontal="center" vertical="center" textRotation="0" wrapText="1" indent="0" relativeIndent="0" justifyLastLine="0" shrinkToFit="0" mergeCell="0" readingOrder="0"/>
      <protection locked="1" hidden="0"/>
    </dxf>
    <dxf>
      <numFmt numFmtId="2" formatCode="0.00"/>
      <alignment horizontal="center" vertical="center" textRotation="0" wrapText="1" indent="0" relativeIndent="0" justifyLastLine="0" shrinkToFit="0" mergeCell="0" readingOrder="0"/>
      <protection locked="1" hidden="0"/>
    </dxf>
    <dxf>
      <numFmt numFmtId="165" formatCode="#,##0\ &quot;zł&quot;"/>
      <alignment horizontal="center" vertical="center" textRotation="0" wrapText="1" indent="0" relativeIndent="0" justifyLastLine="0" shrinkToFit="0" mergeCell="0" readingOrder="0"/>
      <protection locked="1" hidden="0"/>
    </dxf>
    <dxf>
      <numFmt numFmtId="2" formatCode="0.00"/>
      <alignment horizontal="center" vertical="center" textRotation="0" wrapText="1" indent="0" relativeIndent="0" justifyLastLine="0" shrinkToFit="0" mergeCell="0" readingOrder="0"/>
      <protection locked="1" hidden="0"/>
    </dxf>
    <dxf>
      <numFmt numFmtId="2" formatCode="0.00"/>
      <alignment horizontal="center" vertical="center" textRotation="0" wrapText="1" indent="0" relativeIndent="0" justifyLastLine="0" shrinkToFit="0" mergeCell="0" readingOrder="0"/>
      <protection locked="1" hidden="0"/>
    </dxf>
    <dxf>
      <numFmt numFmtId="2" formatCode="0.00"/>
      <alignment horizontal="center" vertical="center" textRotation="0" wrapText="1" indent="0" relativeIndent="0" justifyLastLine="0" shrinkToFit="0" mergeCell="0" readingOrder="0"/>
      <protection locked="1" hidden="0"/>
    </dxf>
    <dxf>
      <numFmt numFmtId="2" formatCode="0.00"/>
      <alignment horizontal="center" vertical="center" textRotation="0" wrapText="1" indent="0" relativeIndent="0" justifyLastLine="0" shrinkToFit="0" mergeCell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protection locked="1" hidden="0"/>
    </dxf>
    <dxf>
      <alignment horizontal="center" vertical="center" textRotation="0" wrapText="1" indent="0" relativeIndent="255" justifyLastLine="0" shrinkToFit="0" mergeCell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00"/>
      <color rgb="FFFFFF00"/>
      <color rgb="FFCC3300"/>
      <color rgb="FFBC7F0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Produkcja energii w ciągu roku</a:t>
            </a:r>
            <a:endParaRPr lang="en-US" sz="12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PV!$A$2</c:f>
              <c:strCache>
                <c:ptCount val="1"/>
                <c:pt idx="0">
                  <c:v>Miesiąc</c:v>
                </c:pt>
              </c:strCache>
            </c:strRef>
          </c:tx>
          <c:cat>
            <c:strRef>
              <c:f>PV!$A$3:$A$14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PV!$C$3:$C$14</c:f>
              <c:numCache>
                <c:formatCode>General</c:formatCode>
                <c:ptCount val="12"/>
                <c:pt idx="0">
                  <c:v>127.17000000000002</c:v>
                </c:pt>
                <c:pt idx="1">
                  <c:v>186.70500000000004</c:v>
                </c:pt>
                <c:pt idx="2">
                  <c:v>385.15500000000003</c:v>
                </c:pt>
                <c:pt idx="3">
                  <c:v>506.25000000000011</c:v>
                </c:pt>
                <c:pt idx="4">
                  <c:v>530.55000000000007</c:v>
                </c:pt>
                <c:pt idx="5">
                  <c:v>514.35000000000014</c:v>
                </c:pt>
                <c:pt idx="6">
                  <c:v>514.35000000000014</c:v>
                </c:pt>
                <c:pt idx="7">
                  <c:v>490.05000000000007</c:v>
                </c:pt>
                <c:pt idx="8">
                  <c:v>385.56000000000006</c:v>
                </c:pt>
                <c:pt idx="9">
                  <c:v>285.12000000000006</c:v>
                </c:pt>
                <c:pt idx="10">
                  <c:v>158.35500000000005</c:v>
                </c:pt>
                <c:pt idx="11">
                  <c:v>113.80500000000002</c:v>
                </c:pt>
              </c:numCache>
            </c:numRef>
          </c:val>
        </c:ser>
        <c:axId val="84239488"/>
        <c:axId val="84216064"/>
      </c:barChart>
      <c:catAx>
        <c:axId val="84239488"/>
        <c:scaling>
          <c:orientation val="minMax"/>
        </c:scaling>
        <c:axPos val="b"/>
        <c:tickLblPos val="nextTo"/>
        <c:crossAx val="84216064"/>
        <c:crosses val="autoZero"/>
        <c:auto val="1"/>
        <c:lblAlgn val="ctr"/>
        <c:lblOffset val="100"/>
      </c:catAx>
      <c:valAx>
        <c:axId val="84216064"/>
        <c:scaling>
          <c:orientation val="minMax"/>
        </c:scaling>
        <c:axPos val="l"/>
        <c:majorGridlines/>
        <c:numFmt formatCode="General" sourceLinked="1"/>
        <c:tickLblPos val="nextTo"/>
        <c:crossAx val="84239488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'prod. en. kol. słon.'!$C$3:$C$4</c:f>
              <c:strCache>
                <c:ptCount val="1"/>
                <c:pt idx="0">
                  <c:v>Zysk solarny [kWh]</c:v>
                </c:pt>
              </c:strCache>
            </c:strRef>
          </c:tx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00000"/>
              </a:solidFill>
            </c:spPr>
          </c:dPt>
          <c:dPt>
            <c:idx val="5"/>
            <c:spPr>
              <a:solidFill>
                <a:srgbClr val="C00000"/>
              </a:solidFill>
            </c:spPr>
          </c:dPt>
          <c:dPt>
            <c:idx val="6"/>
            <c:spPr>
              <a:solidFill>
                <a:srgbClr val="C00000"/>
              </a:solidFill>
            </c:spPr>
          </c:dPt>
          <c:dPt>
            <c:idx val="7"/>
            <c:spPr>
              <a:solidFill>
                <a:srgbClr val="C000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Pt>
            <c:idx val="9"/>
            <c:spPr>
              <a:solidFill>
                <a:srgbClr val="FF9900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FFFF00"/>
              </a:solidFill>
            </c:spPr>
          </c:dPt>
          <c:cat>
            <c:strRef>
              <c:f>'prod. en. kol. słon.'!$B$5:$B$16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'prod. en. kol. słon.'!$C$5:$C$16</c:f>
              <c:numCache>
                <c:formatCode>General</c:formatCode>
                <c:ptCount val="12"/>
                <c:pt idx="0">
                  <c:v>47</c:v>
                </c:pt>
                <c:pt idx="1">
                  <c:v>100</c:v>
                </c:pt>
                <c:pt idx="2">
                  <c:v>136</c:v>
                </c:pt>
                <c:pt idx="3">
                  <c:v>201</c:v>
                </c:pt>
                <c:pt idx="4">
                  <c:v>238</c:v>
                </c:pt>
                <c:pt idx="5">
                  <c:v>219</c:v>
                </c:pt>
                <c:pt idx="6">
                  <c:v>255</c:v>
                </c:pt>
                <c:pt idx="7">
                  <c:v>246</c:v>
                </c:pt>
                <c:pt idx="8">
                  <c:v>166</c:v>
                </c:pt>
                <c:pt idx="9">
                  <c:v>112</c:v>
                </c:pt>
                <c:pt idx="10">
                  <c:v>54</c:v>
                </c:pt>
                <c:pt idx="11">
                  <c:v>24</c:v>
                </c:pt>
              </c:numCache>
            </c:numRef>
          </c:val>
        </c:ser>
        <c:axId val="53037312"/>
        <c:axId val="53039104"/>
      </c:barChart>
      <c:catAx>
        <c:axId val="53037312"/>
        <c:scaling>
          <c:orientation val="minMax"/>
        </c:scaling>
        <c:axPos val="b"/>
        <c:tickLblPos val="nextTo"/>
        <c:crossAx val="53039104"/>
        <c:crosses val="autoZero"/>
        <c:auto val="1"/>
        <c:lblAlgn val="ctr"/>
        <c:lblOffset val="100"/>
      </c:catAx>
      <c:valAx>
        <c:axId val="53039104"/>
        <c:scaling>
          <c:orientation val="minMax"/>
        </c:scaling>
        <c:axPos val="l"/>
        <c:majorGridlines/>
        <c:numFmt formatCode="General" sourceLinked="1"/>
        <c:tickLblPos val="nextTo"/>
        <c:crossAx val="530373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14</xdr:row>
      <xdr:rowOff>38100</xdr:rowOff>
    </xdr:from>
    <xdr:to>
      <xdr:col>7</xdr:col>
      <xdr:colOff>55723</xdr:colOff>
      <xdr:row>30</xdr:row>
      <xdr:rowOff>171450</xdr:rowOff>
    </xdr:to>
    <xdr:pic>
      <xdr:nvPicPr>
        <xdr:cNvPr id="2" name="Picture 4" descr="wpływ kąta nachylenia oraz azymutu na uzysk energii z instalacji P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7124700"/>
          <a:ext cx="6685123" cy="3181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15</xdr:row>
      <xdr:rowOff>1</xdr:rowOff>
    </xdr:from>
    <xdr:to>
      <xdr:col>2</xdr:col>
      <xdr:colOff>1172307</xdr:colOff>
      <xdr:row>29</xdr:row>
      <xdr:rowOff>57151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657225</xdr:rowOff>
    </xdr:from>
    <xdr:to>
      <xdr:col>10</xdr:col>
      <xdr:colOff>409575</xdr:colOff>
      <xdr:row>16</xdr:row>
      <xdr:rowOff>123825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4:J8" totalsRowShown="0" headerRowDxfId="12" dataDxfId="11" tableBorderDxfId="10" headerRowCellStyle="40% - akcent 3">
  <tableColumns count="10">
    <tableColumn id="1" name="Instalacje " dataDxfId="9"/>
    <tableColumn id="2" name="Rodzaj zastępowanej energii / medium" dataDxfId="8"/>
    <tableColumn id="3" name="Pokrycie zapotrzebowania [%]" dataDxfId="7"/>
    <tableColumn id="4" name="zwrot z inwestycji [lat]" dataDxfId="6"/>
    <tableColumn id="5" name="Roczna oszczędność [zł/rok]" dataDxfId="5"/>
    <tableColumn id="6" name="wymagana powierzchnia dachu [m2]" dataDxfId="4"/>
    <tableColumn id="7" name="Wartość instalacji" dataDxfId="3"/>
    <tableColumn id="8" name="Finalny wkład własny" dataDxfId="2"/>
    <tableColumn id="9" name="Wspł. [zł/kW]" dataDxfId="1"/>
    <tableColumn id="10" name="Wspł. [zł/kWh]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hewalex.pl/oferta/zestawy-solarne-z-kolektorami-plaskimi/zestaw-sloneczny-hewalex-2-tlp-ac-200w.html" TargetMode="External"/><Relationship Id="rId1" Type="http://schemas.openxmlformats.org/officeDocument/2006/relationships/hyperlink" Target="https://allegro.pl/listing?string=w%C4%99giel%20workowany&amp;order=q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J2" sqref="J2"/>
    </sheetView>
  </sheetViews>
  <sheetFormatPr defaultColWidth="7.28515625" defaultRowHeight="15"/>
  <cols>
    <col min="1" max="1" width="25.7109375" customWidth="1"/>
    <col min="2" max="2" width="21" customWidth="1"/>
    <col min="3" max="3" width="14.42578125" customWidth="1"/>
    <col min="4" max="4" width="12.7109375" customWidth="1"/>
    <col min="5" max="5" width="14.28515625" customWidth="1"/>
    <col min="6" max="6" width="12" customWidth="1"/>
    <col min="7" max="7" width="12.5703125" customWidth="1"/>
    <col min="8" max="8" width="14" bestFit="1" customWidth="1"/>
    <col min="9" max="9" width="15.140625" customWidth="1"/>
    <col min="10" max="10" width="14" customWidth="1"/>
    <col min="11" max="11" width="16.5703125" customWidth="1"/>
    <col min="12" max="12" width="12.7109375" customWidth="1"/>
  </cols>
  <sheetData>
    <row r="1" spans="1:12" ht="60.75" customHeight="1">
      <c r="A1" s="103" t="s">
        <v>118</v>
      </c>
      <c r="B1" s="104" t="s">
        <v>119</v>
      </c>
      <c r="C1" s="105" t="s">
        <v>120</v>
      </c>
      <c r="D1" s="104" t="s">
        <v>123</v>
      </c>
      <c r="E1" s="106" t="s">
        <v>136</v>
      </c>
      <c r="F1" s="104" t="s">
        <v>155</v>
      </c>
      <c r="G1" s="106" t="s">
        <v>124</v>
      </c>
      <c r="H1" s="107" t="s">
        <v>125</v>
      </c>
      <c r="I1" s="108" t="s">
        <v>138</v>
      </c>
      <c r="J1" s="108" t="s">
        <v>139</v>
      </c>
      <c r="K1" s="108" t="s">
        <v>141</v>
      </c>
    </row>
    <row r="2" spans="1:12" ht="30.75" thickBot="1">
      <c r="A2" s="109" t="s">
        <v>121</v>
      </c>
      <c r="B2" s="110">
        <v>3500</v>
      </c>
      <c r="C2" s="111">
        <f>(ROUNDDOWN((B2/0.8)/PV!F16,0)-1)*(PV!F16/1000)</f>
        <v>4.0500000000000007</v>
      </c>
      <c r="D2" s="112">
        <f>C2</f>
        <v>4.0500000000000007</v>
      </c>
      <c r="E2" s="113">
        <f>D2/(PV!F16/1000)</f>
        <v>15.000000000000002</v>
      </c>
      <c r="F2" s="110">
        <v>4</v>
      </c>
      <c r="G2" s="121">
        <f>ROUNDDOWN(F2/1.6,1)</f>
        <v>2.5</v>
      </c>
      <c r="H2" s="114" t="str">
        <f>IF(C6&gt;1,"zmniejsz wart. kom. D2","brak")</f>
        <v>brak</v>
      </c>
      <c r="I2" s="115">
        <v>1</v>
      </c>
      <c r="J2" s="115">
        <v>0.85</v>
      </c>
      <c r="K2" s="115">
        <v>0.08</v>
      </c>
    </row>
    <row r="4" spans="1:12" s="39" customFormat="1" ht="48" customHeight="1">
      <c r="A4" s="85" t="s">
        <v>101</v>
      </c>
      <c r="B4" s="85" t="s">
        <v>116</v>
      </c>
      <c r="C4" s="85" t="s">
        <v>105</v>
      </c>
      <c r="D4" s="85" t="s">
        <v>103</v>
      </c>
      <c r="E4" s="85" t="s">
        <v>104</v>
      </c>
      <c r="F4" s="86" t="s">
        <v>127</v>
      </c>
      <c r="G4" s="95" t="s">
        <v>134</v>
      </c>
      <c r="H4" s="87" t="s">
        <v>129</v>
      </c>
      <c r="I4" s="85" t="s">
        <v>106</v>
      </c>
      <c r="J4" s="95" t="s">
        <v>132</v>
      </c>
      <c r="K4" s="65"/>
    </row>
    <row r="5" spans="1:12" s="4" customFormat="1">
      <c r="A5" s="88" t="str">
        <f>'kol. słon.'!B1&amp;" kolektory słoneczne"</f>
        <v>3 kolektory słoneczne</v>
      </c>
      <c r="B5" s="88" t="s">
        <v>108</v>
      </c>
      <c r="C5" s="90">
        <f>'kol. słon.'!B6</f>
        <v>0.67425000000000002</v>
      </c>
      <c r="D5" s="88">
        <f>'kol. słon.'!B23</f>
        <v>3.9715556505510401</v>
      </c>
      <c r="E5" s="89">
        <f>'kol. słon.'!B17</f>
        <v>752.85360777587175</v>
      </c>
      <c r="F5" s="91">
        <f>'kol. słon.'!B1*2.15</f>
        <v>6.4499999999999993</v>
      </c>
      <c r="G5" s="89">
        <f>'kol. słon.'!B21</f>
        <v>14039.999999999998</v>
      </c>
      <c r="H5" s="89">
        <f>'kol. słon.'!B22</f>
        <v>2990</v>
      </c>
      <c r="I5" s="89">
        <f>'kol. słon.'!B18</f>
        <v>2413.7931034482758</v>
      </c>
      <c r="J5" s="102">
        <f>'kol. słon.'!B21/('kol. słon.'!B7-'kol. słon.'!B8)</f>
        <v>5.6590084643288989</v>
      </c>
      <c r="K5" s="66"/>
      <c r="L5" s="64"/>
    </row>
    <row r="6" spans="1:12" s="4" customFormat="1">
      <c r="A6" s="119" t="str">
        <f>"Fotowoltaika "&amp;D2&amp;" kWp"</f>
        <v>Fotowoltaika 4,05 kWp</v>
      </c>
      <c r="B6" s="88" t="s">
        <v>130</v>
      </c>
      <c r="C6" s="90">
        <f>PV!F23/PV!F21</f>
        <v>1</v>
      </c>
      <c r="D6" s="119">
        <f>PV!F28</f>
        <v>2.09655938793889</v>
      </c>
      <c r="E6" s="89">
        <f>PV!F23</f>
        <v>1960.0000000000002</v>
      </c>
      <c r="F6" s="91">
        <f>PV!F18</f>
        <v>25.500000000000004</v>
      </c>
      <c r="G6" s="89">
        <f>PV!F26</f>
        <v>19438.056000000008</v>
      </c>
      <c r="H6" s="120">
        <f>PV!F27</f>
        <v>4139.5860000000048</v>
      </c>
      <c r="I6" s="89">
        <f>PV!F24</f>
        <v>4444</v>
      </c>
      <c r="J6" s="102">
        <f>PV!F26/PV!C15</f>
        <v>4.6309532998842151</v>
      </c>
      <c r="K6" s="66"/>
      <c r="L6" s="64"/>
    </row>
    <row r="7" spans="1:12" s="4" customFormat="1" ht="15" customHeight="1">
      <c r="A7" s="92" t="s">
        <v>102</v>
      </c>
      <c r="B7" s="93" t="s">
        <v>109</v>
      </c>
      <c r="C7" s="93" t="s">
        <v>109</v>
      </c>
      <c r="D7" s="93" t="s">
        <v>109</v>
      </c>
      <c r="E7" s="93" t="s">
        <v>109</v>
      </c>
      <c r="F7" s="93" t="s">
        <v>109</v>
      </c>
      <c r="G7" s="93" t="s">
        <v>109</v>
      </c>
      <c r="H7" s="93" t="s">
        <v>109</v>
      </c>
      <c r="I7" s="93" t="s">
        <v>109</v>
      </c>
      <c r="J7" s="93" t="s">
        <v>109</v>
      </c>
      <c r="K7" s="66"/>
      <c r="L7" s="64"/>
    </row>
    <row r="8" spans="1:12" s="4" customFormat="1" ht="36" customHeight="1">
      <c r="A8" s="88" t="str">
        <f>'PV plus kol. słon.'!B6&amp;" kolektory słoneczne plus fotowoltaika "&amp;D2&amp;" kWp"</f>
        <v>3 kolektory słoneczne plus fotowoltaika 4,05 kWp</v>
      </c>
      <c r="B8" s="88" t="s">
        <v>131</v>
      </c>
      <c r="C8" s="88" t="str">
        <f>"CWU "&amp;TEXT(C5, "0%")&amp;" en. El. "&amp;TEXT(C6, "0%")</f>
        <v>CWU 67% en. El. 100%</v>
      </c>
      <c r="D8" s="88">
        <f>'PV plus kol. słon.'!B19</f>
        <v>2.6280761997493776</v>
      </c>
      <c r="E8" s="89">
        <f>'PV plus kol. słon.'!B14</f>
        <v>2712.8536077758718</v>
      </c>
      <c r="F8" s="91">
        <f>F5+F6</f>
        <v>31.950000000000003</v>
      </c>
      <c r="G8" s="89">
        <f>'PV plus kol. słon.'!B17</f>
        <v>33478.056000000004</v>
      </c>
      <c r="H8" s="89">
        <f>'PV plus kol. słon.'!B18</f>
        <v>7129.5860000000011</v>
      </c>
      <c r="I8" s="89">
        <f>'PV plus kol. słon.'!B15</f>
        <v>3985.4828571428575</v>
      </c>
      <c r="J8" s="102">
        <f>'PV plus kol. słon.'!B17/(PV!C15+'kol. słon.'!B7-'kol. słon.'!B8)</f>
        <v>5.0128707089401381</v>
      </c>
      <c r="K8" s="66"/>
      <c r="L8" s="64"/>
    </row>
    <row r="9" spans="1:12" s="4" customFormat="1" ht="35.25" customHeight="1">
      <c r="A9" s="124" t="s">
        <v>137</v>
      </c>
      <c r="B9" s="124"/>
      <c r="C9" s="124"/>
      <c r="D9" s="124"/>
      <c r="E9" s="124"/>
      <c r="F9" s="124"/>
      <c r="G9" s="124"/>
      <c r="H9" s="124"/>
      <c r="I9" s="124"/>
      <c r="J9" s="66"/>
      <c r="K9" s="66"/>
      <c r="L9" s="64"/>
    </row>
    <row r="10" spans="1:12" ht="34.5" customHeight="1">
      <c r="A10" s="125" t="s">
        <v>157</v>
      </c>
      <c r="B10" s="125"/>
      <c r="C10" s="125"/>
      <c r="D10" s="125"/>
      <c r="E10" s="125"/>
      <c r="F10" s="125"/>
      <c r="G10" s="125"/>
      <c r="H10" s="125"/>
      <c r="I10" s="125"/>
    </row>
    <row r="11" spans="1:12" ht="28.5" customHeight="1">
      <c r="A11" s="126" t="s">
        <v>154</v>
      </c>
      <c r="B11" s="126"/>
      <c r="C11" s="126"/>
      <c r="D11" s="126"/>
      <c r="E11" s="126"/>
      <c r="F11" s="126"/>
      <c r="G11" s="126"/>
      <c r="H11" s="126"/>
      <c r="I11" s="126"/>
    </row>
    <row r="12" spans="1:12" ht="33.75" customHeight="1">
      <c r="A12" s="127" t="s">
        <v>142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2">
      <c r="A13" s="122" t="s">
        <v>161</v>
      </c>
      <c r="B13" s="122"/>
      <c r="C13" s="122"/>
      <c r="D13" s="122"/>
      <c r="E13" s="122"/>
      <c r="F13" s="122"/>
      <c r="G13" s="122"/>
      <c r="H13" s="122"/>
    </row>
    <row r="14" spans="1:12" ht="47.25" customHeight="1">
      <c r="A14" s="122"/>
      <c r="B14" s="122"/>
      <c r="C14" s="122"/>
      <c r="D14" s="122"/>
      <c r="E14" s="122"/>
      <c r="F14" s="122"/>
      <c r="G14" s="122"/>
      <c r="H14" s="122"/>
    </row>
    <row r="33" spans="1:9">
      <c r="A33" s="123" t="s">
        <v>126</v>
      </c>
      <c r="B33" s="123"/>
      <c r="C33" s="123"/>
      <c r="D33" s="123"/>
      <c r="E33" s="123"/>
      <c r="F33" s="123"/>
      <c r="G33" s="123"/>
      <c r="H33" s="123"/>
      <c r="I33" s="123"/>
    </row>
  </sheetData>
  <mergeCells count="6">
    <mergeCell ref="A13:H14"/>
    <mergeCell ref="A33:I33"/>
    <mergeCell ref="A9:I9"/>
    <mergeCell ref="A10:I10"/>
    <mergeCell ref="A11:I11"/>
    <mergeCell ref="A12:J12"/>
  </mergeCells>
  <conditionalFormatting sqref="C6">
    <cfRule type="cellIs" dxfId="14" priority="2" operator="greaterThan">
      <formula>1</formula>
    </cfRule>
  </conditionalFormatting>
  <conditionalFormatting sqref="H2">
    <cfRule type="notContainsText" dxfId="13" priority="1" operator="notContains" text="brak">
      <formula>ISERROR(SEARCH("brak",H2))</formula>
    </cfRule>
  </conditionalFormatting>
  <pageMargins left="0.31862745098039214" right="0.20833333333333334" top="0.5" bottom="0.46568627450980393" header="0.1875" footer="0.31496062992125984"/>
  <pageSetup paperSize="9" orientation="landscape" verticalDpi="4" r:id="rId1"/>
  <headerFooter>
    <oddHeader>&amp;CZestawienie wariantów inwestycyjnych</oddHead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Layout" workbookViewId="0">
      <selection activeCell="A17" sqref="A17"/>
    </sheetView>
  </sheetViews>
  <sheetFormatPr defaultRowHeight="15"/>
  <cols>
    <col min="1" max="1" width="57.140625" customWidth="1"/>
    <col min="2" max="2" width="22.5703125" customWidth="1"/>
    <col min="3" max="3" width="41.28515625" customWidth="1"/>
    <col min="4" max="4" width="11" customWidth="1"/>
  </cols>
  <sheetData>
    <row r="1" spans="1:3" ht="35.25" customHeight="1">
      <c r="A1" s="35" t="s">
        <v>95</v>
      </c>
      <c r="B1" s="15">
        <f>PV!C1</f>
        <v>4.0500000000000007</v>
      </c>
      <c r="C1" s="39"/>
    </row>
    <row r="2" spans="1:3" s="4" customFormat="1" ht="15" customHeight="1">
      <c r="A2" s="40" t="s">
        <v>69</v>
      </c>
      <c r="B2" s="11">
        <f>ROUND(B1/(PV!F16/1000),0)</f>
        <v>15</v>
      </c>
      <c r="C2"/>
    </row>
    <row r="3" spans="1:3" s="4" customFormat="1">
      <c r="A3" s="67" t="s">
        <v>70</v>
      </c>
      <c r="B3" s="8">
        <f>B2*(PV!F16/1000)</f>
        <v>4.0500000000000007</v>
      </c>
      <c r="C3"/>
    </row>
    <row r="4" spans="1:3" s="4" customFormat="1">
      <c r="A4" s="67" t="str">
        <f>PV!D18</f>
        <v>Niezbędna wolna i niezacieniona powierzchnia dachu [m2]</v>
      </c>
      <c r="B4" s="8">
        <f>B2*1.7</f>
        <v>25.5</v>
      </c>
      <c r="C4"/>
    </row>
    <row r="5" spans="1:3" s="4" customFormat="1" ht="30" customHeight="1">
      <c r="A5" s="49" t="s">
        <v>71</v>
      </c>
      <c r="B5" s="44">
        <f>PV!F24</f>
        <v>4444</v>
      </c>
      <c r="C5" s="39" t="s">
        <v>97</v>
      </c>
    </row>
    <row r="6" spans="1:3" s="4" customFormat="1">
      <c r="A6" s="45" t="s">
        <v>96</v>
      </c>
      <c r="B6" s="53">
        <f>'kol. słon.'!B1</f>
        <v>3</v>
      </c>
      <c r="C6"/>
    </row>
    <row r="7" spans="1:3" s="4" customFormat="1">
      <c r="A7" s="40" t="str">
        <f>'kol. słon.'!A2</f>
        <v>Moc nominalna zestawu [kW]</v>
      </c>
      <c r="B7" s="5">
        <f>'kol. słon.'!B2</f>
        <v>4.3499999999999996</v>
      </c>
      <c r="C7" s="39"/>
    </row>
    <row r="8" spans="1:3" s="4" customFormat="1">
      <c r="A8" s="40" t="s">
        <v>66</v>
      </c>
      <c r="B8" s="41">
        <f>'kol. słon.'!B9</f>
        <v>0.56000000000000005</v>
      </c>
      <c r="C8"/>
    </row>
    <row r="9" spans="1:3" s="4" customFormat="1">
      <c r="A9" s="40" t="s">
        <v>65</v>
      </c>
      <c r="B9" s="44">
        <f>'kol. słon.'!B10</f>
        <v>120.96000000000001</v>
      </c>
      <c r="C9"/>
    </row>
    <row r="10" spans="1:3" s="4" customFormat="1">
      <c r="A10" s="40" t="s">
        <v>59</v>
      </c>
      <c r="B10" s="42" t="str">
        <f>'kol. słon.'!B11</f>
        <v>węgiel workowany</v>
      </c>
      <c r="C10"/>
    </row>
    <row r="11" spans="1:3" s="4" customFormat="1">
      <c r="A11" s="40" t="s">
        <v>64</v>
      </c>
      <c r="B11" s="43">
        <f>'kol. słon.'!B16</f>
        <v>873.81360777587179</v>
      </c>
      <c r="C11"/>
    </row>
    <row r="12" spans="1:3" s="4" customFormat="1">
      <c r="A12" s="40" t="s">
        <v>72</v>
      </c>
      <c r="B12" s="41">
        <f>B11-B9</f>
        <v>752.85360777587175</v>
      </c>
      <c r="C12"/>
    </row>
    <row r="13" spans="1:3" s="4" customFormat="1" ht="32.25" customHeight="1">
      <c r="A13" s="40" t="s">
        <v>100</v>
      </c>
      <c r="B13" s="44">
        <f>PV!F23</f>
        <v>1960.0000000000002</v>
      </c>
      <c r="C13"/>
    </row>
    <row r="14" spans="1:3" s="4" customFormat="1">
      <c r="A14" s="61" t="s">
        <v>73</v>
      </c>
      <c r="B14" s="62">
        <f>B13+B12</f>
        <v>2712.8536077758718</v>
      </c>
      <c r="C14"/>
    </row>
    <row r="15" spans="1:3" s="4" customFormat="1">
      <c r="A15" s="40" t="s">
        <v>144</v>
      </c>
      <c r="B15" s="60">
        <f>B17/(B3+B7)</f>
        <v>3985.4828571428575</v>
      </c>
      <c r="C15"/>
    </row>
    <row r="16" spans="1:3" s="4" customFormat="1">
      <c r="A16" s="40" t="s">
        <v>152</v>
      </c>
      <c r="B16" s="60">
        <f>'kol. słon.'!B20+PV!F25</f>
        <v>30998.200000000004</v>
      </c>
      <c r="C16"/>
    </row>
    <row r="17" spans="1:3" s="4" customFormat="1">
      <c r="A17" s="40" t="s">
        <v>153</v>
      </c>
      <c r="B17" s="44">
        <f>'kol. słon.'!B21+PV!F26</f>
        <v>33478.056000000004</v>
      </c>
      <c r="C17"/>
    </row>
    <row r="18" spans="1:3">
      <c r="A18" s="40" t="s">
        <v>133</v>
      </c>
      <c r="B18" s="50">
        <f>B16*(1-'zestawienie wariantów'!J2)+('PV plus kol. słon.'!B17-'PV plus kol. słon.'!B16)</f>
        <v>7129.5860000000011</v>
      </c>
    </row>
    <row r="19" spans="1:3">
      <c r="A19" s="47" t="s">
        <v>68</v>
      </c>
      <c r="B19" s="51">
        <f>B18/B14</f>
        <v>2.6280761997493776</v>
      </c>
    </row>
    <row r="21" spans="1:3" ht="31.5" customHeight="1">
      <c r="A21" s="59" t="s">
        <v>74</v>
      </c>
      <c r="B21" s="129" t="s">
        <v>113</v>
      </c>
      <c r="C21" s="129"/>
    </row>
    <row r="22" spans="1:3">
      <c r="B22" s="52" t="s">
        <v>114</v>
      </c>
      <c r="C22" s="52"/>
    </row>
    <row r="23" spans="1:3">
      <c r="B23" s="52" t="s">
        <v>115</v>
      </c>
      <c r="C23" s="52"/>
    </row>
    <row r="25" spans="1:3" ht="32.25" customHeight="1">
      <c r="A25" s="59" t="s">
        <v>110</v>
      </c>
      <c r="B25" s="128" t="s">
        <v>111</v>
      </c>
      <c r="C25" s="128"/>
    </row>
    <row r="26" spans="1:3">
      <c r="B26" t="s">
        <v>112</v>
      </c>
    </row>
    <row r="27" spans="1:3">
      <c r="A27" s="130" t="s">
        <v>126</v>
      </c>
      <c r="B27" s="130"/>
      <c r="C27" s="130"/>
    </row>
  </sheetData>
  <mergeCells count="3">
    <mergeCell ref="B21:C21"/>
    <mergeCell ref="B25:C25"/>
    <mergeCell ref="A27:C27"/>
  </mergeCells>
  <pageMargins left="0.70866141732283472" right="0.70866141732283472" top="0.74803149606299213" bottom="0.74803149606299213" header="0.31496062992125984" footer="0.31496062992125984"/>
  <pageSetup paperSize="9" orientation="landscape" verticalDpi="4" r:id="rId1"/>
  <headerFooter>
    <oddHeader>&amp;CAnaliza opłacalności inwestycji w mikroinstalację fotowoltaiczną i kolektory słoneczne dla osoby fizycznej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opLeftCell="A4" workbookViewId="0">
      <selection activeCell="F25" sqref="F25"/>
    </sheetView>
  </sheetViews>
  <sheetFormatPr defaultRowHeight="15"/>
  <cols>
    <col min="1" max="1" width="11.85546875" customWidth="1"/>
    <col min="2" max="2" width="22.5703125" customWidth="1"/>
    <col min="3" max="3" width="18.28515625" customWidth="1"/>
    <col min="4" max="4" width="25.7109375" customWidth="1"/>
    <col min="5" max="5" width="35.7109375" style="4" customWidth="1"/>
    <col min="6" max="6" width="16" style="4" customWidth="1"/>
    <col min="7" max="7" width="13.28515625" style="4" customWidth="1"/>
    <col min="8" max="8" width="11" customWidth="1"/>
  </cols>
  <sheetData>
    <row r="1" spans="1:6" ht="52.5" customHeight="1">
      <c r="A1" s="131" t="s">
        <v>38</v>
      </c>
      <c r="B1" s="132"/>
      <c r="C1" s="15">
        <f>'zestawienie wariantów'!D2</f>
        <v>4.0500000000000007</v>
      </c>
      <c r="D1" s="16" t="s">
        <v>36</v>
      </c>
      <c r="E1" s="16" t="s">
        <v>37</v>
      </c>
      <c r="F1" s="16" t="s">
        <v>15</v>
      </c>
    </row>
    <row r="2" spans="1:6" ht="31.5" customHeight="1">
      <c r="A2" s="9" t="s">
        <v>39</v>
      </c>
      <c r="B2" s="10" t="s">
        <v>17</v>
      </c>
      <c r="C2" s="10" t="s">
        <v>18</v>
      </c>
      <c r="D2" s="7" t="s">
        <v>14</v>
      </c>
      <c r="E2" s="7" t="s">
        <v>14</v>
      </c>
      <c r="F2" s="7" t="s">
        <v>16</v>
      </c>
    </row>
    <row r="3" spans="1:6">
      <c r="A3" s="1" t="s">
        <v>19</v>
      </c>
      <c r="B3" s="69">
        <f>'prod. en. PV'!C6*$C$1</f>
        <v>4.0905000000000005</v>
      </c>
      <c r="C3" s="69">
        <f>'prod. en. PV'!D6*$C$1</f>
        <v>127.17000000000002</v>
      </c>
      <c r="D3" s="70">
        <f>C3*0.2</f>
        <v>25.434000000000005</v>
      </c>
      <c r="E3" s="70">
        <f>(C3-D3)*0.8</f>
        <v>81.388800000000018</v>
      </c>
      <c r="F3" s="70">
        <f t="shared" ref="F3:F14" si="0">(D3+E3)*F$19</f>
        <v>59.820768000000022</v>
      </c>
    </row>
    <row r="4" spans="1:6">
      <c r="A4" s="1" t="s">
        <v>20</v>
      </c>
      <c r="B4" s="69">
        <f>'prod. en. PV'!C7*$C$1</f>
        <v>6.682500000000001</v>
      </c>
      <c r="C4" s="69">
        <f>'prod. en. PV'!D7*$C$1</f>
        <v>186.70500000000004</v>
      </c>
      <c r="D4" s="70">
        <f t="shared" ref="D4:D14" si="1">C4*0.2</f>
        <v>37.341000000000008</v>
      </c>
      <c r="E4" s="70">
        <f t="shared" ref="E4:E14" si="2">(C4-D4)*0.8</f>
        <v>119.49120000000003</v>
      </c>
      <c r="F4" s="70">
        <f t="shared" si="0"/>
        <v>87.826032000000041</v>
      </c>
    </row>
    <row r="5" spans="1:6">
      <c r="A5" s="1" t="s">
        <v>21</v>
      </c>
      <c r="B5" s="69">
        <f>'prod. en. PV'!C8*$C$1</f>
        <v>12.433500000000002</v>
      </c>
      <c r="C5" s="69">
        <f>'prod. en. PV'!D8*$C$1</f>
        <v>385.15500000000003</v>
      </c>
      <c r="D5" s="70">
        <f t="shared" si="1"/>
        <v>77.031000000000006</v>
      </c>
      <c r="E5" s="70">
        <f t="shared" si="2"/>
        <v>246.49920000000003</v>
      </c>
      <c r="F5" s="70">
        <f t="shared" si="0"/>
        <v>181.17691200000004</v>
      </c>
    </row>
    <row r="6" spans="1:6">
      <c r="A6" s="1" t="s">
        <v>22</v>
      </c>
      <c r="B6" s="69">
        <f>'prod. en. PV'!C9*$C$1</f>
        <v>16.888500000000004</v>
      </c>
      <c r="C6" s="69">
        <f>'prod. en. PV'!D9*$C$1</f>
        <v>506.25000000000011</v>
      </c>
      <c r="D6" s="70">
        <f t="shared" si="1"/>
        <v>101.25000000000003</v>
      </c>
      <c r="E6" s="70">
        <f t="shared" si="2"/>
        <v>324.00000000000011</v>
      </c>
      <c r="F6" s="70">
        <f t="shared" si="0"/>
        <v>238.1400000000001</v>
      </c>
    </row>
    <row r="7" spans="1:6">
      <c r="A7" s="1" t="s">
        <v>23</v>
      </c>
      <c r="B7" s="69">
        <f>'prod. en. PV'!C10*$C$1</f>
        <v>17.172000000000004</v>
      </c>
      <c r="C7" s="69">
        <f>'prod. en. PV'!D10*$C$1</f>
        <v>530.55000000000007</v>
      </c>
      <c r="D7" s="70">
        <f t="shared" si="1"/>
        <v>106.11000000000001</v>
      </c>
      <c r="E7" s="70">
        <f t="shared" si="2"/>
        <v>339.55200000000008</v>
      </c>
      <c r="F7" s="70">
        <f t="shared" si="0"/>
        <v>249.57072000000008</v>
      </c>
    </row>
    <row r="8" spans="1:6">
      <c r="A8" s="1" t="s">
        <v>24</v>
      </c>
      <c r="B8" s="69">
        <f>'prod. en. PV'!C11*$C$1</f>
        <v>17.131500000000006</v>
      </c>
      <c r="C8" s="69">
        <f>'prod. en. PV'!D11*$C$1</f>
        <v>514.35000000000014</v>
      </c>
      <c r="D8" s="70">
        <f t="shared" si="1"/>
        <v>102.87000000000003</v>
      </c>
      <c r="E8" s="70">
        <f t="shared" si="2"/>
        <v>329.18400000000014</v>
      </c>
      <c r="F8" s="70">
        <f t="shared" si="0"/>
        <v>241.95024000000012</v>
      </c>
    </row>
    <row r="9" spans="1:6">
      <c r="A9" s="1" t="s">
        <v>25</v>
      </c>
      <c r="B9" s="69">
        <f>'prod. en. PV'!C12*$C$1</f>
        <v>16.564500000000002</v>
      </c>
      <c r="C9" s="69">
        <f>'prod. en. PV'!D12*$C$1</f>
        <v>514.35000000000014</v>
      </c>
      <c r="D9" s="70">
        <f t="shared" si="1"/>
        <v>102.87000000000003</v>
      </c>
      <c r="E9" s="70">
        <f t="shared" si="2"/>
        <v>329.18400000000014</v>
      </c>
      <c r="F9" s="70">
        <f t="shared" si="0"/>
        <v>241.95024000000012</v>
      </c>
    </row>
    <row r="10" spans="1:6">
      <c r="A10" s="1" t="s">
        <v>26</v>
      </c>
      <c r="B10" s="69">
        <f>'prod. en. PV'!C13*$C$1</f>
        <v>15.795000000000002</v>
      </c>
      <c r="C10" s="69">
        <f>'prod. en. PV'!D13*$C$1</f>
        <v>490.05000000000007</v>
      </c>
      <c r="D10" s="70">
        <f t="shared" si="1"/>
        <v>98.010000000000019</v>
      </c>
      <c r="E10" s="70">
        <f t="shared" si="2"/>
        <v>313.63200000000006</v>
      </c>
      <c r="F10" s="70">
        <f t="shared" si="0"/>
        <v>230.51952000000006</v>
      </c>
    </row>
    <row r="11" spans="1:6">
      <c r="A11" s="1" t="s">
        <v>27</v>
      </c>
      <c r="B11" s="69">
        <f>'prod. en. PV'!C14*$C$1</f>
        <v>12.838500000000002</v>
      </c>
      <c r="C11" s="69">
        <f>'prod. en. PV'!D14*$C$1</f>
        <v>385.56000000000006</v>
      </c>
      <c r="D11" s="70">
        <f t="shared" si="1"/>
        <v>77.112000000000023</v>
      </c>
      <c r="E11" s="70">
        <f t="shared" si="2"/>
        <v>246.75840000000005</v>
      </c>
      <c r="F11" s="70">
        <f t="shared" si="0"/>
        <v>181.36742400000006</v>
      </c>
    </row>
    <row r="12" spans="1:6" ht="17.25" customHeight="1">
      <c r="A12" s="1" t="s">
        <v>28</v>
      </c>
      <c r="B12" s="69">
        <f>'prod. en. PV'!C15*$C$1</f>
        <v>9.193500000000002</v>
      </c>
      <c r="C12" s="69">
        <f>'prod. en. PV'!D15*$C$1</f>
        <v>285.12000000000006</v>
      </c>
      <c r="D12" s="70">
        <f t="shared" si="1"/>
        <v>57.024000000000015</v>
      </c>
      <c r="E12" s="70">
        <f t="shared" si="2"/>
        <v>182.47680000000005</v>
      </c>
      <c r="F12" s="70">
        <f t="shared" si="0"/>
        <v>134.12044800000007</v>
      </c>
    </row>
    <row r="13" spans="1:6">
      <c r="A13" s="1" t="s">
        <v>29</v>
      </c>
      <c r="B13" s="69">
        <f>'prod. en. PV'!C16*$C$1</f>
        <v>5.2650000000000015</v>
      </c>
      <c r="C13" s="69">
        <f>'prod. en. PV'!D16*$C$1</f>
        <v>158.35500000000005</v>
      </c>
      <c r="D13" s="70">
        <f t="shared" si="1"/>
        <v>31.67100000000001</v>
      </c>
      <c r="E13" s="70">
        <f t="shared" si="2"/>
        <v>101.34720000000004</v>
      </c>
      <c r="F13" s="70">
        <f t="shared" si="0"/>
        <v>74.490192000000036</v>
      </c>
    </row>
    <row r="14" spans="1:6">
      <c r="A14" s="1" t="s">
        <v>30</v>
      </c>
      <c r="B14" s="69">
        <f>'prod. en. PV'!C17*$C$1</f>
        <v>3.6855000000000007</v>
      </c>
      <c r="C14" s="69">
        <f>'prod. en. PV'!D17*$C$1</f>
        <v>113.80500000000002</v>
      </c>
      <c r="D14" s="70">
        <f t="shared" si="1"/>
        <v>22.761000000000006</v>
      </c>
      <c r="E14" s="70">
        <f t="shared" si="2"/>
        <v>72.835200000000015</v>
      </c>
      <c r="F14" s="70">
        <f t="shared" si="0"/>
        <v>53.533872000000017</v>
      </c>
    </row>
    <row r="15" spans="1:6" ht="15" customHeight="1" thickBot="1">
      <c r="A15" s="3" t="s">
        <v>13</v>
      </c>
      <c r="B15" s="71"/>
      <c r="C15" s="72">
        <f>SUM(C3:C14)</f>
        <v>4197.420000000001</v>
      </c>
      <c r="D15" s="73">
        <f>SUM(D3:D14)</f>
        <v>839.48400000000004</v>
      </c>
      <c r="E15" s="73">
        <f>SUM(E3:E14)</f>
        <v>2686.3488000000011</v>
      </c>
      <c r="F15" s="74">
        <f>SUM(F3:F14)*'zestawienie wariantów'!I2</f>
        <v>1974.4663680000008</v>
      </c>
    </row>
    <row r="16" spans="1:6">
      <c r="D16" s="98" t="s">
        <v>135</v>
      </c>
      <c r="E16" s="99"/>
      <c r="F16" s="100">
        <v>270</v>
      </c>
    </row>
    <row r="17" spans="1:7">
      <c r="D17" s="19" t="s">
        <v>44</v>
      </c>
      <c r="E17" s="5"/>
      <c r="F17" s="101">
        <f>C1/(F16/1000)</f>
        <v>15.000000000000002</v>
      </c>
    </row>
    <row r="18" spans="1:7" ht="18" thickBot="1">
      <c r="C18" s="13"/>
      <c r="D18" s="20" t="s">
        <v>43</v>
      </c>
      <c r="E18" s="21"/>
      <c r="F18" s="25">
        <f>F17*1.7</f>
        <v>25.500000000000004</v>
      </c>
    </row>
    <row r="19" spans="1:7" ht="15.75">
      <c r="C19" s="13"/>
      <c r="D19" s="17" t="s">
        <v>45</v>
      </c>
      <c r="E19" s="18"/>
      <c r="F19" s="79">
        <v>0.56000000000000005</v>
      </c>
    </row>
    <row r="20" spans="1:7" ht="16.5" thickBot="1">
      <c r="C20" s="13"/>
      <c r="D20" s="26" t="s">
        <v>46</v>
      </c>
      <c r="E20" s="27"/>
      <c r="F20" s="34">
        <f>'zestawienie wariantów'!B2</f>
        <v>3500</v>
      </c>
    </row>
    <row r="21" spans="1:7">
      <c r="D21" s="22" t="s">
        <v>47</v>
      </c>
      <c r="E21" s="6"/>
      <c r="F21" s="33">
        <f>F20*F19</f>
        <v>1960.0000000000002</v>
      </c>
    </row>
    <row r="22" spans="1:7">
      <c r="D22" s="23" t="s">
        <v>48</v>
      </c>
      <c r="E22" s="14"/>
      <c r="F22" s="24">
        <f>IF((F21-F15)&lt;0,0,(F21-F15))</f>
        <v>0</v>
      </c>
    </row>
    <row r="23" spans="1:7" ht="15.75" thickBot="1">
      <c r="D23" s="133" t="s">
        <v>67</v>
      </c>
      <c r="E23" s="134"/>
      <c r="F23" s="63">
        <f>F21-F22</f>
        <v>1960.0000000000002</v>
      </c>
    </row>
    <row r="24" spans="1:7">
      <c r="D24" s="17" t="s">
        <v>151</v>
      </c>
      <c r="E24" s="18"/>
      <c r="F24" s="78">
        <v>4444</v>
      </c>
    </row>
    <row r="25" spans="1:7">
      <c r="D25" s="23" t="s">
        <v>150</v>
      </c>
      <c r="E25" s="117"/>
      <c r="F25" s="118">
        <f>F24*C1</f>
        <v>17998.200000000004</v>
      </c>
    </row>
    <row r="26" spans="1:7">
      <c r="D26" s="23" t="s">
        <v>149</v>
      </c>
      <c r="E26" s="14"/>
      <c r="F26" s="24">
        <f>F25*(1+'zestawienie wariantów'!K2)</f>
        <v>19438.056000000008</v>
      </c>
    </row>
    <row r="27" spans="1:7" ht="15.75" thickBot="1">
      <c r="D27" s="31" t="s">
        <v>133</v>
      </c>
      <c r="E27" s="32"/>
      <c r="F27" s="68">
        <f>F25*(1-'zestawienie wariantów'!J2)+(F26-F25)</f>
        <v>4139.5860000000048</v>
      </c>
    </row>
    <row r="28" spans="1:7" ht="15.75" thickBot="1">
      <c r="D28" s="28" t="s">
        <v>49</v>
      </c>
      <c r="E28" s="29"/>
      <c r="F28" s="30">
        <f>F27/F15</f>
        <v>2.09655938793889</v>
      </c>
    </row>
    <row r="29" spans="1:7">
      <c r="D29" s="17" t="s">
        <v>50</v>
      </c>
      <c r="E29" s="18"/>
      <c r="F29" s="75">
        <f>C15*0.406006871666303</f>
        <v>1704.1813632695739</v>
      </c>
    </row>
    <row r="30" spans="1:7">
      <c r="D30" s="19" t="s">
        <v>51</v>
      </c>
      <c r="E30" s="5"/>
      <c r="F30" s="76">
        <f>C15*0.815</f>
        <v>3420.8973000000005</v>
      </c>
    </row>
    <row r="31" spans="1:7" ht="15.75" thickBot="1">
      <c r="D31" s="20" t="s">
        <v>52</v>
      </c>
      <c r="E31" s="21"/>
      <c r="F31" s="77">
        <f>4.164*C15</f>
        <v>17478.056880000004</v>
      </c>
    </row>
    <row r="32" spans="1:7">
      <c r="A32" s="130" t="s">
        <v>126</v>
      </c>
      <c r="B32" s="130"/>
      <c r="C32" s="130"/>
      <c r="D32" s="130"/>
      <c r="E32" s="130"/>
      <c r="F32" s="130"/>
      <c r="G32" s="130"/>
    </row>
  </sheetData>
  <mergeCells count="3">
    <mergeCell ref="A1:B1"/>
    <mergeCell ref="D23:E23"/>
    <mergeCell ref="A32:G32"/>
  </mergeCells>
  <pageMargins left="0.70866141732283472" right="0.70866141732283472" top="0.74803149606299213" bottom="0.23958333333333334" header="0.31496062992125984" footer="0.31496062992125984"/>
  <pageSetup paperSize="9" orientation="landscape" verticalDpi="4" r:id="rId1"/>
  <headerFooter>
    <oddHeader>&amp;CAnaliza opłacalności inwestycji w mikroinstalację fotowoltaiczną dla osoby fizycznej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8" sqref="C8"/>
    </sheetView>
  </sheetViews>
  <sheetFormatPr defaultRowHeight="15"/>
  <cols>
    <col min="1" max="1" width="44.7109375" customWidth="1"/>
    <col min="2" max="2" width="22.5703125" customWidth="1"/>
    <col min="3" max="3" width="62.85546875" customWidth="1"/>
  </cols>
  <sheetData>
    <row r="1" spans="1:3" ht="29.25" customHeight="1">
      <c r="A1" s="35" t="s">
        <v>99</v>
      </c>
      <c r="B1" s="15">
        <f>ROUND('zestawienie wariantów'!G2,0)</f>
        <v>3</v>
      </c>
    </row>
    <row r="2" spans="1:3" s="4" customFormat="1" ht="15" customHeight="1">
      <c r="A2" s="40" t="s">
        <v>107</v>
      </c>
      <c r="B2" s="11">
        <f>B1*1.45</f>
        <v>4.3499999999999996</v>
      </c>
      <c r="C2"/>
    </row>
    <row r="3" spans="1:3" s="4" customFormat="1" ht="15" customHeight="1">
      <c r="A3" s="40" t="s">
        <v>156</v>
      </c>
      <c r="B3" s="97">
        <f>ROUND(B4*2*2,-2)/2</f>
        <v>300</v>
      </c>
      <c r="C3" t="s">
        <v>128</v>
      </c>
    </row>
    <row r="4" spans="1:3" s="4" customFormat="1">
      <c r="A4" s="40" t="s">
        <v>56</v>
      </c>
      <c r="B4" s="5">
        <f>'zestawienie wariantów'!F2*35</f>
        <v>140</v>
      </c>
      <c r="C4" t="s">
        <v>158</v>
      </c>
    </row>
    <row r="5" spans="1:3" s="4" customFormat="1" ht="30">
      <c r="A5" s="40" t="s">
        <v>57</v>
      </c>
      <c r="B5" s="8">
        <f>'zestawienie wariantów'!F2*1000</f>
        <v>4000</v>
      </c>
      <c r="C5" s="39" t="s">
        <v>58</v>
      </c>
    </row>
    <row r="6" spans="1:3" s="4" customFormat="1" ht="45.75" customHeight="1">
      <c r="A6" s="40" t="s">
        <v>159</v>
      </c>
      <c r="B6" s="57">
        <f>B7/B5</f>
        <v>0.67425000000000002</v>
      </c>
      <c r="C6" s="54" t="s">
        <v>122</v>
      </c>
    </row>
    <row r="7" spans="1:3" s="4" customFormat="1" ht="30">
      <c r="A7" s="40" t="s">
        <v>160</v>
      </c>
      <c r="B7" s="56">
        <f>B1*('prod. en. kol. słon.'!C17/2)</f>
        <v>2697</v>
      </c>
      <c r="C7" s="39"/>
    </row>
    <row r="8" spans="1:3" s="4" customFormat="1" ht="30" customHeight="1">
      <c r="A8" s="40" t="s">
        <v>92</v>
      </c>
      <c r="B8" s="8">
        <f>12*(B1*12/2)</f>
        <v>216</v>
      </c>
      <c r="C8"/>
    </row>
    <row r="9" spans="1:3" s="4" customFormat="1">
      <c r="A9" s="40" t="s">
        <v>66</v>
      </c>
      <c r="B9" s="41">
        <f>PV!F19</f>
        <v>0.56000000000000005</v>
      </c>
      <c r="C9"/>
    </row>
    <row r="10" spans="1:3" s="4" customFormat="1" ht="30">
      <c r="A10" s="40" t="s">
        <v>93</v>
      </c>
      <c r="B10" s="41">
        <f>B9*B8</f>
        <v>120.96000000000001</v>
      </c>
      <c r="C10"/>
    </row>
    <row r="11" spans="1:3" s="4" customFormat="1">
      <c r="A11" s="40" t="s">
        <v>59</v>
      </c>
      <c r="B11" s="80" t="s">
        <v>143</v>
      </c>
      <c r="C11"/>
    </row>
    <row r="12" spans="1:3" s="4" customFormat="1" ht="30">
      <c r="A12" s="40" t="s">
        <v>62</v>
      </c>
      <c r="B12" s="81">
        <v>5.83</v>
      </c>
      <c r="C12" s="39" t="s">
        <v>94</v>
      </c>
    </row>
    <row r="13" spans="1:3" s="4" customFormat="1" ht="30">
      <c r="A13" s="40" t="s">
        <v>61</v>
      </c>
      <c r="B13" s="82">
        <v>0.45</v>
      </c>
      <c r="C13" s="39" t="s">
        <v>117</v>
      </c>
    </row>
    <row r="14" spans="1:3" s="4" customFormat="1">
      <c r="A14" s="40" t="s">
        <v>60</v>
      </c>
      <c r="B14" s="83">
        <f>B7/B12/B13</f>
        <v>1028.0160091480845</v>
      </c>
      <c r="C14"/>
    </row>
    <row r="15" spans="1:3" s="4" customFormat="1">
      <c r="A15" s="40" t="s">
        <v>63</v>
      </c>
      <c r="B15" s="84">
        <v>0.85</v>
      </c>
      <c r="C15" s="94" t="s">
        <v>140</v>
      </c>
    </row>
    <row r="16" spans="1:3" s="4" customFormat="1" ht="30">
      <c r="A16" s="40" t="s">
        <v>64</v>
      </c>
      <c r="B16" s="44">
        <f>B15*B14</f>
        <v>873.81360777587179</v>
      </c>
      <c r="C16"/>
    </row>
    <row r="17" spans="1:3" s="4" customFormat="1">
      <c r="A17" s="61" t="s">
        <v>67</v>
      </c>
      <c r="B17" s="62">
        <f>B16-B10</f>
        <v>752.85360777587175</v>
      </c>
      <c r="C17"/>
    </row>
    <row r="18" spans="1:3" s="4" customFormat="1" ht="30">
      <c r="A18" s="40" t="s">
        <v>148</v>
      </c>
      <c r="B18" s="84">
        <f>7000/2.9</f>
        <v>2413.7931034482758</v>
      </c>
      <c r="C18" s="96" t="s">
        <v>98</v>
      </c>
    </row>
    <row r="19" spans="1:3" s="4" customFormat="1">
      <c r="A19" s="40" t="s">
        <v>145</v>
      </c>
      <c r="B19" s="116">
        <f>1000+B1*500</f>
        <v>2500</v>
      </c>
      <c r="C19"/>
    </row>
    <row r="20" spans="1:3" s="4" customFormat="1">
      <c r="A20" s="40" t="s">
        <v>146</v>
      </c>
      <c r="B20" s="116">
        <f>B18*B2+B19</f>
        <v>12999.999999999998</v>
      </c>
      <c r="C20"/>
    </row>
    <row r="21" spans="1:3" s="4" customFormat="1" ht="17.25" customHeight="1">
      <c r="A21" s="40" t="s">
        <v>147</v>
      </c>
      <c r="B21" s="44">
        <f>B20*(1+'zestawienie wariantów'!K2)</f>
        <v>14039.999999999998</v>
      </c>
    </row>
    <row r="22" spans="1:3" s="4" customFormat="1">
      <c r="A22" s="40" t="s">
        <v>133</v>
      </c>
      <c r="B22" s="46">
        <f>B20*(1-'zestawienie wariantów'!J2)+(B21-B20)</f>
        <v>2990</v>
      </c>
      <c r="C22"/>
    </row>
    <row r="23" spans="1:3">
      <c r="A23" s="47" t="s">
        <v>68</v>
      </c>
      <c r="B23" s="48">
        <f>B22/B17</f>
        <v>3.9715556505510401</v>
      </c>
    </row>
    <row r="24" spans="1:3">
      <c r="A24" s="130" t="s">
        <v>126</v>
      </c>
      <c r="B24" s="130"/>
      <c r="C24" s="130"/>
    </row>
  </sheetData>
  <mergeCells count="1">
    <mergeCell ref="A24:C24"/>
  </mergeCells>
  <hyperlinks>
    <hyperlink ref="C15" r:id="rId1"/>
    <hyperlink ref="C18" r:id="rId2"/>
  </hyperlinks>
  <pageMargins left="0.70866141732283472" right="0.70866141732283472" top="0.74803149606299213" bottom="0.44117647058823528" header="0.31496062992125984" footer="0.31496062992125984"/>
  <pageSetup paperSize="9" orientation="landscape" verticalDpi="4" r:id="rId3"/>
  <headerFooter>
    <oddHeader>&amp;CAnaliza opłacalności inwestycji w zestaw 2 kolektorów słonecznych na potrzeby CWU dla osoby fizycznej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46"/>
  <sheetViews>
    <sheetView view="pageLayout" topLeftCell="A4" workbookViewId="0">
      <selection activeCell="D1" sqref="D1"/>
    </sheetView>
  </sheetViews>
  <sheetFormatPr defaultRowHeight="15"/>
  <cols>
    <col min="3" max="3" width="16.28515625" customWidth="1"/>
    <col min="4" max="4" width="12.5703125" customWidth="1"/>
    <col min="5" max="5" width="16.42578125" customWidth="1"/>
    <col min="6" max="6" width="12.5703125" customWidth="1"/>
  </cols>
  <sheetData>
    <row r="2" spans="2:6">
      <c r="B2" t="s">
        <v>40</v>
      </c>
    </row>
    <row r="3" spans="2:6">
      <c r="C3" s="137" t="s">
        <v>53</v>
      </c>
      <c r="D3" s="138"/>
      <c r="E3" s="137" t="s">
        <v>54</v>
      </c>
      <c r="F3" s="138"/>
    </row>
    <row r="4" spans="2:6">
      <c r="C4" s="8" t="s">
        <v>17</v>
      </c>
      <c r="D4" s="8" t="s">
        <v>55</v>
      </c>
      <c r="E4" s="8" t="s">
        <v>17</v>
      </c>
      <c r="F4" s="8" t="s">
        <v>55</v>
      </c>
    </row>
    <row r="5" spans="2:6" ht="18">
      <c r="B5" s="12" t="s">
        <v>0</v>
      </c>
      <c r="C5" s="38" t="s">
        <v>32</v>
      </c>
      <c r="D5" s="38" t="s">
        <v>33</v>
      </c>
      <c r="E5" s="38" t="s">
        <v>34</v>
      </c>
      <c r="F5" s="38" t="s">
        <v>35</v>
      </c>
    </row>
    <row r="6" spans="2:6">
      <c r="B6" s="1" t="s">
        <v>1</v>
      </c>
      <c r="C6" s="2">
        <v>1.01</v>
      </c>
      <c r="D6" s="2">
        <v>31.4</v>
      </c>
      <c r="E6" s="2">
        <v>1.1399999999999999</v>
      </c>
      <c r="F6" s="2">
        <v>35.299999999999997</v>
      </c>
    </row>
    <row r="7" spans="2:6">
      <c r="B7" s="1" t="s">
        <v>2</v>
      </c>
      <c r="C7" s="2">
        <v>1.65</v>
      </c>
      <c r="D7" s="2">
        <v>46.1</v>
      </c>
      <c r="E7" s="2">
        <v>1.89</v>
      </c>
      <c r="F7" s="2">
        <v>53</v>
      </c>
    </row>
    <row r="8" spans="2:6">
      <c r="B8" s="1" t="s">
        <v>3</v>
      </c>
      <c r="C8" s="2">
        <v>3.07</v>
      </c>
      <c r="D8" s="2">
        <v>95.1</v>
      </c>
      <c r="E8" s="2">
        <v>3.63</v>
      </c>
      <c r="F8" s="2">
        <v>113</v>
      </c>
    </row>
    <row r="9" spans="2:6">
      <c r="B9" s="1" t="s">
        <v>4</v>
      </c>
      <c r="C9" s="2">
        <v>4.17</v>
      </c>
      <c r="D9" s="2">
        <v>125</v>
      </c>
      <c r="E9" s="2">
        <v>5.15</v>
      </c>
      <c r="F9" s="2">
        <v>155</v>
      </c>
    </row>
    <row r="10" spans="2:6">
      <c r="B10" s="1" t="s">
        <v>5</v>
      </c>
      <c r="C10" s="2">
        <v>4.24</v>
      </c>
      <c r="D10" s="2">
        <v>131</v>
      </c>
      <c r="E10" s="2">
        <v>5.39</v>
      </c>
      <c r="F10" s="2">
        <v>167</v>
      </c>
    </row>
    <row r="11" spans="2:6">
      <c r="B11" s="1" t="s">
        <v>6</v>
      </c>
      <c r="C11" s="2">
        <v>4.2300000000000004</v>
      </c>
      <c r="D11" s="2">
        <v>127</v>
      </c>
      <c r="E11" s="2">
        <v>5.47</v>
      </c>
      <c r="F11" s="2">
        <v>164</v>
      </c>
    </row>
    <row r="12" spans="2:6">
      <c r="B12" s="1" t="s">
        <v>7</v>
      </c>
      <c r="C12" s="2">
        <v>4.09</v>
      </c>
      <c r="D12" s="2">
        <v>127</v>
      </c>
      <c r="E12" s="2">
        <v>5.33</v>
      </c>
      <c r="F12" s="2">
        <v>165</v>
      </c>
    </row>
    <row r="13" spans="2:6">
      <c r="B13" s="1" t="s">
        <v>8</v>
      </c>
      <c r="C13" s="2">
        <v>3.9</v>
      </c>
      <c r="D13" s="2">
        <v>121</v>
      </c>
      <c r="E13" s="2">
        <v>5.05</v>
      </c>
      <c r="F13" s="2">
        <v>156</v>
      </c>
    </row>
    <row r="14" spans="2:6">
      <c r="B14" s="1" t="s">
        <v>9</v>
      </c>
      <c r="C14" s="2">
        <v>3.17</v>
      </c>
      <c r="D14" s="2">
        <v>95.2</v>
      </c>
      <c r="E14" s="2">
        <v>3.97</v>
      </c>
      <c r="F14" s="2">
        <v>119</v>
      </c>
    </row>
    <row r="15" spans="2:6">
      <c r="B15" s="1" t="s">
        <v>10</v>
      </c>
      <c r="C15" s="2">
        <v>2.27</v>
      </c>
      <c r="D15" s="2">
        <v>70.400000000000006</v>
      </c>
      <c r="E15" s="2">
        <v>2.74</v>
      </c>
      <c r="F15" s="2">
        <v>85.1</v>
      </c>
    </row>
    <row r="16" spans="2:6">
      <c r="B16" s="1" t="s">
        <v>11</v>
      </c>
      <c r="C16" s="2">
        <v>1.3</v>
      </c>
      <c r="D16" s="2">
        <v>39.1</v>
      </c>
      <c r="E16" s="2">
        <v>1.52</v>
      </c>
      <c r="F16" s="2">
        <v>45.5</v>
      </c>
    </row>
    <row r="17" spans="2:6">
      <c r="B17" s="1" t="s">
        <v>12</v>
      </c>
      <c r="C17" s="2">
        <v>0.91</v>
      </c>
      <c r="D17" s="2">
        <v>28.1</v>
      </c>
      <c r="E17" s="2">
        <v>1.03</v>
      </c>
      <c r="F17" s="2">
        <v>31.9</v>
      </c>
    </row>
    <row r="18" spans="2:6" ht="30">
      <c r="B18" s="3" t="s">
        <v>31</v>
      </c>
      <c r="C18" s="36"/>
      <c r="D18" s="37">
        <f>SUM(D6:D17)</f>
        <v>1036.4000000000001</v>
      </c>
      <c r="E18" s="135">
        <v>1140</v>
      </c>
      <c r="F18" s="136"/>
    </row>
    <row r="20" spans="2:6">
      <c r="B20" t="s">
        <v>42</v>
      </c>
    </row>
    <row r="21" spans="2:6">
      <c r="B21" t="s">
        <v>41</v>
      </c>
    </row>
    <row r="44" spans="1:7" ht="31.5" customHeight="1"/>
    <row r="45" spans="1:7" ht="29.25" customHeight="1">
      <c r="A45" s="139" t="s">
        <v>126</v>
      </c>
      <c r="B45" s="139"/>
      <c r="C45" s="139"/>
      <c r="D45" s="139"/>
      <c r="E45" s="139"/>
      <c r="F45" s="139"/>
      <c r="G45" s="139"/>
    </row>
    <row r="46" spans="1:7" ht="29.25" customHeight="1"/>
  </sheetData>
  <sheetProtection selectLockedCells="1"/>
  <mergeCells count="4">
    <mergeCell ref="E18:F18"/>
    <mergeCell ref="C3:D3"/>
    <mergeCell ref="E3:F3"/>
    <mergeCell ref="A45:G45"/>
  </mergeCells>
  <pageMargins left="0.7" right="0.7" top="0.75" bottom="0.75" header="0.3" footer="0.3"/>
  <pageSetup paperSize="9" orientation="portrait" verticalDpi="4" r:id="rId1"/>
  <headerFooter>
    <oddHeader>&amp;CProdukcja energii z wzorcowego systemu fotowoltaicznego o mocy 1 kWp w ciągu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42"/>
  <sheetViews>
    <sheetView view="pageLayout" topLeftCell="A4" workbookViewId="0">
      <selection activeCell="D17" sqref="D17"/>
    </sheetView>
  </sheetViews>
  <sheetFormatPr defaultRowHeight="15"/>
  <cols>
    <col min="1" max="1" width="1.28515625" customWidth="1"/>
    <col min="2" max="2" width="11.28515625" customWidth="1"/>
    <col min="3" max="3" width="7.5703125" customWidth="1"/>
    <col min="9" max="9" width="8.85546875" customWidth="1"/>
  </cols>
  <sheetData>
    <row r="2" spans="2:3" ht="63" customHeight="1">
      <c r="B2" s="140" t="s">
        <v>91</v>
      </c>
      <c r="C2" s="140"/>
    </row>
    <row r="3" spans="2:3" ht="54" customHeight="1">
      <c r="B3" s="141" t="s">
        <v>39</v>
      </c>
      <c r="C3" s="141" t="s">
        <v>75</v>
      </c>
    </row>
    <row r="4" spans="2:3">
      <c r="B4" s="142"/>
      <c r="C4" s="142"/>
    </row>
    <row r="5" spans="2:3">
      <c r="B5" s="55" t="s">
        <v>76</v>
      </c>
      <c r="C5" s="55">
        <v>47</v>
      </c>
    </row>
    <row r="6" spans="2:3">
      <c r="B6" s="55" t="s">
        <v>77</v>
      </c>
      <c r="C6" s="55">
        <v>100</v>
      </c>
    </row>
    <row r="7" spans="2:3">
      <c r="B7" s="55" t="s">
        <v>78</v>
      </c>
      <c r="C7" s="55">
        <v>136</v>
      </c>
    </row>
    <row r="8" spans="2:3">
      <c r="B8" s="55" t="s">
        <v>79</v>
      </c>
      <c r="C8" s="55">
        <v>201</v>
      </c>
    </row>
    <row r="9" spans="2:3">
      <c r="B9" s="55" t="s">
        <v>80</v>
      </c>
      <c r="C9" s="55">
        <v>238</v>
      </c>
    </row>
    <row r="10" spans="2:3">
      <c r="B10" s="55" t="s">
        <v>81</v>
      </c>
      <c r="C10" s="55">
        <v>219</v>
      </c>
    </row>
    <row r="11" spans="2:3">
      <c r="B11" s="55" t="s">
        <v>82</v>
      </c>
      <c r="C11" s="55">
        <v>255</v>
      </c>
    </row>
    <row r="12" spans="2:3">
      <c r="B12" s="55" t="s">
        <v>83</v>
      </c>
      <c r="C12" s="55">
        <v>246</v>
      </c>
    </row>
    <row r="13" spans="2:3">
      <c r="B13" s="55" t="s">
        <v>84</v>
      </c>
      <c r="C13" s="55">
        <v>166</v>
      </c>
    </row>
    <row r="14" spans="2:3">
      <c r="B14" s="55" t="s">
        <v>85</v>
      </c>
      <c r="C14" s="55">
        <v>112</v>
      </c>
    </row>
    <row r="15" spans="2:3">
      <c r="B15" s="55" t="s">
        <v>86</v>
      </c>
      <c r="C15" s="55">
        <v>54</v>
      </c>
    </row>
    <row r="16" spans="2:3">
      <c r="B16" s="55" t="s">
        <v>87</v>
      </c>
      <c r="C16" s="55">
        <v>24</v>
      </c>
    </row>
    <row r="17" spans="2:3" ht="26.25">
      <c r="B17" s="55" t="s">
        <v>88</v>
      </c>
      <c r="C17" s="58">
        <f>SUM(C5:C16)</f>
        <v>1798</v>
      </c>
    </row>
    <row r="19" spans="2:3">
      <c r="B19" t="s">
        <v>90</v>
      </c>
    </row>
    <row r="20" spans="2:3">
      <c r="B20" t="s">
        <v>89</v>
      </c>
    </row>
    <row r="42" spans="1:10" ht="15" customHeight="1">
      <c r="A42" s="139" t="s">
        <v>126</v>
      </c>
      <c r="B42" s="139"/>
      <c r="C42" s="139"/>
      <c r="D42" s="139"/>
      <c r="E42" s="139"/>
      <c r="F42" s="139"/>
      <c r="G42" s="139"/>
      <c r="H42" s="139"/>
      <c r="I42" s="139"/>
      <c r="J42" s="139"/>
    </row>
  </sheetData>
  <sheetProtection selectLockedCells="1"/>
  <mergeCells count="4">
    <mergeCell ref="A42:J42"/>
    <mergeCell ref="B2:C2"/>
    <mergeCell ref="B3:B4"/>
    <mergeCell ref="C3:C4"/>
  </mergeCells>
  <pageMargins left="0.32291666666666669" right="0.42708333333333331" top="0.75" bottom="0.75" header="0.3" footer="0.3"/>
  <pageSetup paperSize="9" orientation="portrait" verticalDpi="4" r:id="rId1"/>
  <headerFooter>
    <oddHeader>&amp;CProdukcja energii o pokrycie zapotrzebowania na CWU w ciągu roku przez 2 płaskie kolektory słoneczne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wariantów</vt:lpstr>
      <vt:lpstr>PV plus kol. słon.</vt:lpstr>
      <vt:lpstr>PV</vt:lpstr>
      <vt:lpstr>kol. słon.</vt:lpstr>
      <vt:lpstr>prod. en. PV</vt:lpstr>
      <vt:lpstr>prod. en. kol. słon.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2017-11-30T16:03:45Z</dcterms:modified>
</cp:coreProperties>
</file>